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_{ADE2C819-AC48-4952-8489-300CE321BE96}" xr6:coauthVersionLast="47" xr6:coauthVersionMax="47" xr10:uidLastSave="{00000000-0000-0000-0000-000000000000}"/>
  <workbookProtection workbookAlgorithmName="SHA-512" workbookHashValue="RA0XXZksbszWryDRoERXL4vRLWhwHMsOCiLzsIrDlMgrAttTB2cOBBpQffH2i5hrmgVVWbvfHvSvp4KG3ZlJrQ==" workbookSaltValue="cIinD/6K4XJec0oqFZ99ng==" workbookSpinCount="100000" lockStructure="1"/>
  <bookViews>
    <workbookView xWindow="-108" yWindow="-108" windowWidth="23256" windowHeight="12456" tabRatio="584" xr2:uid="{00000000-000D-0000-FFFF-FFFF00000000}"/>
  </bookViews>
  <sheets>
    <sheet name="Basic Information" sheetId="5" r:id="rId1"/>
    <sheet name="Income Tax Proforma - Old Schem" sheetId="4" r:id="rId2"/>
    <sheet name="Form 10E - Old Scheme" sheetId="6" r:id="rId3"/>
    <sheet name="Income Tax Proforma - New Schem" sheetId="9" r:id="rId4"/>
    <sheet name="Form 10E - New Scheme" sheetId="10" r:id="rId5"/>
  </sheets>
  <definedNames>
    <definedName name="_xlnm.Print_Area" localSheetId="0">'Basic Information'!$B$2:$BA$32</definedName>
    <definedName name="_xlnm.Print_Area" localSheetId="4">'Form 10E - New Scheme'!$B$1:$AP$105</definedName>
    <definedName name="_xlnm.Print_Area" localSheetId="2">'Form 10E - Old Scheme'!$B$1:$AP$104</definedName>
    <definedName name="_xlnm.Print_Area" localSheetId="3">'Income Tax Proforma - New Schem'!$B$1:$BJ$110</definedName>
    <definedName name="_xlnm.Print_Area" localSheetId="1">'Income Tax Proforma - Old Schem'!$B$1:$BJ$209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82" i="9" l="1"/>
  <c r="BC83" i="9"/>
  <c r="AI87" i="9"/>
  <c r="BP181" i="4"/>
  <c r="AI86" i="9"/>
  <c r="AI85" i="9" l="1"/>
  <c r="AJ159" i="4"/>
  <c r="AV159" i="4"/>
  <c r="AI84" i="9"/>
  <c r="AI83" i="9"/>
  <c r="O87" i="9"/>
  <c r="O86" i="9"/>
  <c r="O85" i="9"/>
  <c r="O84" i="9"/>
  <c r="O83" i="9"/>
  <c r="K12" i="9"/>
  <c r="AH28" i="9"/>
  <c r="AH28" i="4"/>
  <c r="BP58" i="4"/>
  <c r="AV60" i="4"/>
  <c r="BL56" i="4"/>
  <c r="AY101" i="10"/>
  <c r="AX101" i="10"/>
  <c r="AY100" i="10"/>
  <c r="AX100" i="10"/>
  <c r="AY99" i="10"/>
  <c r="AX99" i="10"/>
  <c r="AY98" i="10"/>
  <c r="AX98" i="10"/>
  <c r="AY97" i="10"/>
  <c r="AX97" i="10"/>
  <c r="AY96" i="10"/>
  <c r="AX96" i="10"/>
  <c r="AY95" i="10"/>
  <c r="AX95" i="10"/>
  <c r="AY94" i="10"/>
  <c r="AX94" i="10"/>
  <c r="AY93" i="10"/>
  <c r="AX93" i="10"/>
  <c r="AY92" i="10"/>
  <c r="AX92" i="10"/>
  <c r="AU92" i="10"/>
  <c r="AU101" i="10"/>
  <c r="AU100" i="10"/>
  <c r="AU99" i="10"/>
  <c r="AU98" i="10"/>
  <c r="AU97" i="10"/>
  <c r="AU96" i="10"/>
  <c r="AU95" i="10"/>
  <c r="AU94" i="10"/>
  <c r="AU93" i="10"/>
  <c r="AT92" i="10"/>
  <c r="AT101" i="10"/>
  <c r="AT100" i="10"/>
  <c r="AT99" i="10"/>
  <c r="AT98" i="10"/>
  <c r="AT97" i="10"/>
  <c r="AT96" i="10"/>
  <c r="AT95" i="10"/>
  <c r="AT94" i="10"/>
  <c r="AT93" i="10"/>
  <c r="AY101" i="6"/>
  <c r="AY100" i="6"/>
  <c r="AY99" i="6"/>
  <c r="AY98" i="6"/>
  <c r="AY97" i="6"/>
  <c r="AY96" i="6"/>
  <c r="AY95" i="6"/>
  <c r="AY94" i="6"/>
  <c r="AY93" i="6"/>
  <c r="AY92" i="6"/>
  <c r="AX92" i="6"/>
  <c r="AX101" i="6"/>
  <c r="AX100" i="6"/>
  <c r="AX99" i="6"/>
  <c r="AX98" i="6"/>
  <c r="AX97" i="6"/>
  <c r="AX96" i="6"/>
  <c r="AX95" i="6"/>
  <c r="AX94" i="6"/>
  <c r="AX93" i="6"/>
  <c r="AU101" i="6"/>
  <c r="AU100" i="6"/>
  <c r="AU99" i="6"/>
  <c r="AU98" i="6"/>
  <c r="AU97" i="6"/>
  <c r="AU96" i="6"/>
  <c r="AU95" i="6"/>
  <c r="AU94" i="6"/>
  <c r="AU93" i="6"/>
  <c r="AU92" i="6"/>
  <c r="AT92" i="6"/>
  <c r="AT101" i="6"/>
  <c r="AT100" i="6"/>
  <c r="AT99" i="6"/>
  <c r="AT98" i="6"/>
  <c r="AT97" i="6"/>
  <c r="AT96" i="6"/>
  <c r="AT95" i="6"/>
  <c r="AT94" i="6"/>
  <c r="AT93" i="6"/>
  <c r="AC23" i="4"/>
  <c r="AC22" i="4"/>
  <c r="AC21" i="4"/>
  <c r="AC20" i="4"/>
  <c r="AC19" i="4"/>
  <c r="AC18" i="4"/>
  <c r="AC17" i="4"/>
  <c r="AC16" i="4"/>
  <c r="AC15" i="4"/>
  <c r="AC14" i="4"/>
  <c r="AC13" i="4"/>
  <c r="AC12" i="4"/>
  <c r="H51" i="10"/>
  <c r="H49" i="10"/>
  <c r="H103" i="9"/>
  <c r="H101" i="9"/>
  <c r="H51" i="6"/>
  <c r="H49" i="6"/>
  <c r="H200" i="4"/>
  <c r="H202" i="4"/>
  <c r="AO107" i="9"/>
  <c r="AO206" i="4"/>
  <c r="BA28" i="4"/>
  <c r="AJ107" i="4" s="1"/>
  <c r="BA30" i="9"/>
  <c r="AZ30" i="9"/>
  <c r="AH30" i="9"/>
  <c r="AZ28" i="9"/>
  <c r="AZ30" i="4"/>
  <c r="AH30" i="4"/>
  <c r="AZ28" i="4"/>
  <c r="AO109" i="9"/>
  <c r="B1" i="9"/>
  <c r="AO208" i="4"/>
  <c r="B1" i="4"/>
  <c r="AC24" i="4" l="1"/>
  <c r="BA28" i="9"/>
  <c r="AJ58" i="9" l="1"/>
  <c r="AV121" i="4" l="1"/>
  <c r="BP38" i="4"/>
  <c r="AV40" i="4"/>
  <c r="AV92" i="6"/>
  <c r="AW92" i="6" s="1"/>
  <c r="V26" i="9"/>
  <c r="AV93" i="6"/>
  <c r="AW93" i="6" s="1"/>
  <c r="AQ92" i="6"/>
  <c r="AZ93" i="6" l="1"/>
  <c r="BA93" i="6" s="1"/>
  <c r="AZ94" i="6"/>
  <c r="BA94" i="6" s="1"/>
  <c r="AZ95" i="6"/>
  <c r="BA95" i="6" s="1"/>
  <c r="AV94" i="6"/>
  <c r="AW94" i="6" s="1"/>
  <c r="AV95" i="6"/>
  <c r="AW95" i="6" s="1"/>
  <c r="AZ96" i="6"/>
  <c r="BA96" i="6" s="1"/>
  <c r="AV97" i="6"/>
  <c r="AW97" i="6" s="1"/>
  <c r="AZ97" i="6"/>
  <c r="BA97" i="6" s="1"/>
  <c r="AV98" i="6"/>
  <c r="AW98" i="6" s="1"/>
  <c r="AV100" i="6"/>
  <c r="AW100" i="6" s="1"/>
  <c r="AV96" i="6"/>
  <c r="AW96" i="6" s="1"/>
  <c r="AZ98" i="6"/>
  <c r="BA98" i="6" s="1"/>
  <c r="AV99" i="6"/>
  <c r="AW99" i="6" s="1"/>
  <c r="AZ99" i="6"/>
  <c r="BA99" i="6" s="1"/>
  <c r="AZ100" i="6"/>
  <c r="BA100" i="6" s="1"/>
  <c r="AV101" i="6"/>
  <c r="AW101" i="6" s="1"/>
  <c r="AZ101" i="6"/>
  <c r="BA101" i="6" s="1"/>
  <c r="AV149" i="4"/>
  <c r="BP147" i="4"/>
  <c r="BP143" i="4"/>
  <c r="BP141" i="4"/>
  <c r="BP139" i="4"/>
  <c r="BP135" i="4"/>
  <c r="BP130" i="4"/>
  <c r="BP128" i="4"/>
  <c r="AV141" i="4"/>
  <c r="BP121" i="4"/>
  <c r="AV135" i="4"/>
  <c r="BP137" i="4" s="1"/>
  <c r="AV153" i="4"/>
  <c r="BP153" i="4" s="1"/>
  <c r="AV151" i="4"/>
  <c r="BP150" i="4" s="1"/>
  <c r="BP149" i="4"/>
  <c r="BC85" i="9" l="1"/>
  <c r="M102" i="6" l="1"/>
  <c r="G102" i="6"/>
  <c r="AQ102" i="6" l="1"/>
  <c r="AQ79" i="6"/>
  <c r="BD33" i="5" l="1"/>
  <c r="AV131" i="4" l="1"/>
  <c r="AV129" i="4"/>
  <c r="AV125" i="4" l="1"/>
  <c r="BP125" i="4" s="1"/>
  <c r="BP9" i="4" l="1"/>
  <c r="AP24" i="4" l="1"/>
  <c r="BP113" i="4" s="1"/>
  <c r="AU24" i="4"/>
  <c r="AJ81" i="4" s="1"/>
  <c r="BE24" i="4"/>
  <c r="AJ77" i="4" s="1"/>
  <c r="AZ24" i="4"/>
  <c r="AJ83" i="4" s="1"/>
  <c r="AJ24" i="4"/>
  <c r="AJ87" i="4" s="1"/>
  <c r="S101" i="6"/>
  <c r="S100" i="6"/>
  <c r="S99" i="6"/>
  <c r="S98" i="6"/>
  <c r="S97" i="6"/>
  <c r="S96" i="6"/>
  <c r="S95" i="6"/>
  <c r="S94" i="6"/>
  <c r="S93" i="6"/>
  <c r="S92" i="6"/>
  <c r="AJ127" i="4" l="1"/>
  <c r="AV113" i="4"/>
  <c r="AV115" i="4" s="1"/>
  <c r="AV123" i="4" s="1"/>
  <c r="BP122" i="4" s="1"/>
  <c r="S102" i="6"/>
  <c r="BP114" i="4" l="1"/>
  <c r="AV127" i="4"/>
  <c r="AP27" i="6"/>
  <c r="AQ27" i="6" l="1"/>
  <c r="V30" i="9" l="1"/>
  <c r="V28" i="9"/>
  <c r="BP119" i="4" l="1"/>
  <c r="AH34" i="9" l="1"/>
  <c r="AV147" i="4" l="1"/>
  <c r="AV143" i="4"/>
  <c r="N34" i="9" l="1"/>
  <c r="AJ157" i="4" l="1"/>
  <c r="U11" i="6" l="1"/>
  <c r="AQ22" i="6" l="1"/>
  <c r="M101" i="10" l="1"/>
  <c r="G101" i="10"/>
  <c r="B101" i="10"/>
  <c r="M100" i="10"/>
  <c r="G100" i="10"/>
  <c r="B100" i="10"/>
  <c r="M99" i="10"/>
  <c r="G99" i="10"/>
  <c r="S99" i="10" s="1"/>
  <c r="B99" i="10"/>
  <c r="M98" i="10"/>
  <c r="G98" i="10"/>
  <c r="S98" i="10" s="1"/>
  <c r="B98" i="10"/>
  <c r="M97" i="10"/>
  <c r="G97" i="10"/>
  <c r="B97" i="10"/>
  <c r="M96" i="10"/>
  <c r="G96" i="10"/>
  <c r="B96" i="10"/>
  <c r="M95" i="10"/>
  <c r="G95" i="10"/>
  <c r="S95" i="10" s="1"/>
  <c r="B95" i="10"/>
  <c r="M94" i="10"/>
  <c r="G94" i="10"/>
  <c r="S94" i="10" s="1"/>
  <c r="B94" i="10"/>
  <c r="M93" i="10"/>
  <c r="G93" i="10"/>
  <c r="B93" i="10"/>
  <c r="B92" i="10"/>
  <c r="G92" i="10"/>
  <c r="M92" i="10"/>
  <c r="U21" i="10"/>
  <c r="U22" i="10"/>
  <c r="U19" i="10"/>
  <c r="U18" i="10"/>
  <c r="U17" i="10"/>
  <c r="U16" i="10"/>
  <c r="U15" i="10"/>
  <c r="U14" i="10"/>
  <c r="U13" i="10"/>
  <c r="AV98" i="10" l="1"/>
  <c r="AW98" i="10" s="1"/>
  <c r="S97" i="10"/>
  <c r="S101" i="10"/>
  <c r="M102" i="10"/>
  <c r="S96" i="10"/>
  <c r="S100" i="10"/>
  <c r="AV96" i="10"/>
  <c r="AW96" i="10" s="1"/>
  <c r="G102" i="10"/>
  <c r="S93" i="10"/>
  <c r="S92" i="10"/>
  <c r="AQ92" i="10"/>
  <c r="AQ86" i="9"/>
  <c r="AQ85" i="9"/>
  <c r="BC86" i="9"/>
  <c r="AV46" i="9"/>
  <c r="AV52" i="9"/>
  <c r="AV50" i="9"/>
  <c r="AV48" i="9"/>
  <c r="BC34" i="9"/>
  <c r="AP27" i="10" s="1"/>
  <c r="AF27" i="10" s="1"/>
  <c r="AZ99" i="10" l="1"/>
  <c r="BA99" i="10" s="1"/>
  <c r="AV100" i="10"/>
  <c r="AW100" i="10" s="1"/>
  <c r="AV99" i="10"/>
  <c r="AW99" i="10" s="1"/>
  <c r="AV97" i="10"/>
  <c r="AW97" i="10" s="1"/>
  <c r="AZ100" i="10"/>
  <c r="BA100" i="10" s="1"/>
  <c r="AZ94" i="10"/>
  <c r="BA94" i="10" s="1"/>
  <c r="AV101" i="10"/>
  <c r="AW101" i="10" s="1"/>
  <c r="AZ95" i="10"/>
  <c r="BA95" i="10" s="1"/>
  <c r="AV93" i="10"/>
  <c r="AW93" i="10" s="1"/>
  <c r="S102" i="10"/>
  <c r="AZ101" i="10"/>
  <c r="BA101" i="10" s="1"/>
  <c r="AZ93" i="10"/>
  <c r="BA93" i="10" s="1"/>
  <c r="AZ96" i="10"/>
  <c r="BA96" i="10" s="1"/>
  <c r="AV94" i="10"/>
  <c r="AW94" i="10" s="1"/>
  <c r="AZ97" i="10"/>
  <c r="BA97" i="10" s="1"/>
  <c r="AV95" i="10"/>
  <c r="AW95" i="10" s="1"/>
  <c r="AZ98" i="10"/>
  <c r="BA98" i="10" s="1"/>
  <c r="AQ79" i="10"/>
  <c r="AQ102" i="10"/>
  <c r="BH36" i="5"/>
  <c r="BH37" i="5" s="1"/>
  <c r="BH38" i="5" s="1"/>
  <c r="BG36" i="5"/>
  <c r="BG37" i="5" s="1"/>
  <c r="BG38" i="5" s="1"/>
  <c r="BF36" i="5"/>
  <c r="BF37" i="5" s="1"/>
  <c r="BE36" i="5"/>
  <c r="BE37" i="5" s="1"/>
  <c r="BD36" i="5"/>
  <c r="BC36" i="5"/>
  <c r="BC37" i="5" s="1"/>
  <c r="BC38" i="5" s="1"/>
  <c r="BC39" i="5" s="1"/>
  <c r="BC40" i="5" s="1"/>
  <c r="BC41" i="5" s="1"/>
  <c r="BC42" i="5" s="1"/>
  <c r="BC43" i="5" s="1"/>
  <c r="BC44" i="5" s="1"/>
  <c r="BC45" i="5" s="1"/>
  <c r="BC46" i="5" s="1"/>
  <c r="BC47" i="5" s="1"/>
  <c r="BC48" i="5" s="1"/>
  <c r="BC49" i="5" s="1"/>
  <c r="BC50" i="5" s="1"/>
  <c r="BC51" i="5" s="1"/>
  <c r="BC52" i="5" s="1"/>
  <c r="BC53" i="5" s="1"/>
  <c r="BC54" i="5" s="1"/>
  <c r="BC55" i="5" s="1"/>
  <c r="BC56" i="5" s="1"/>
  <c r="BC57" i="5" s="1"/>
  <c r="BC58" i="5" s="1"/>
  <c r="BC59" i="5" s="1"/>
  <c r="BC60" i="5" s="1"/>
  <c r="BC61" i="5" s="1"/>
  <c r="BC62" i="5" s="1"/>
  <c r="BC63" i="5" s="1"/>
  <c r="BC64" i="5" s="1"/>
  <c r="BC65" i="5" s="1"/>
  <c r="BC66" i="5" s="1"/>
  <c r="BC67" i="5" s="1"/>
  <c r="BC68" i="5" s="1"/>
  <c r="BC69" i="5" s="1"/>
  <c r="BC70" i="5" s="1"/>
  <c r="BC71" i="5" s="1"/>
  <c r="BC72" i="5" s="1"/>
  <c r="BC73" i="5" s="1"/>
  <c r="BC74" i="5" s="1"/>
  <c r="BH33" i="5"/>
  <c r="BG33" i="5"/>
  <c r="BF33" i="5"/>
  <c r="BE33" i="5"/>
  <c r="BC33" i="5"/>
  <c r="BD37" i="5" l="1"/>
  <c r="BD38" i="5" s="1"/>
  <c r="BD39" i="5" s="1"/>
  <c r="BD40" i="5" s="1"/>
  <c r="BD41" i="5" s="1"/>
  <c r="BD42" i="5" s="1"/>
  <c r="BD43" i="5" s="1"/>
  <c r="BD44" i="5" s="1"/>
  <c r="BD45" i="5" s="1"/>
  <c r="BD46" i="5" s="1"/>
  <c r="BD47" i="5" s="1"/>
  <c r="BD48" i="5" s="1"/>
  <c r="BD49" i="5" s="1"/>
  <c r="BD50" i="5" s="1"/>
  <c r="BD51" i="5" s="1"/>
  <c r="BD52" i="5" s="1"/>
  <c r="BD53" i="5" s="1"/>
  <c r="BD54" i="5" s="1"/>
  <c r="BD55" i="5" s="1"/>
  <c r="BD56" i="5" s="1"/>
  <c r="BD57" i="5" s="1"/>
  <c r="BD58" i="5" s="1"/>
  <c r="BD59" i="5" s="1"/>
  <c r="BD60" i="5" s="1"/>
  <c r="BD61" i="5" s="1"/>
  <c r="BD62" i="5" s="1"/>
  <c r="BD63" i="5" s="1"/>
  <c r="BD64" i="5" s="1"/>
  <c r="BD65" i="5" s="1"/>
  <c r="BD66" i="5" s="1"/>
  <c r="BD67" i="5" s="1"/>
  <c r="BD68" i="5" s="1"/>
  <c r="BD69" i="5" s="1"/>
  <c r="BD70" i="5" s="1"/>
  <c r="BD71" i="5" s="1"/>
  <c r="BD72" i="5" s="1"/>
  <c r="BC34" i="5"/>
  <c r="BH39" i="5"/>
  <c r="BH40" i="5" s="1"/>
  <c r="BH41" i="5" s="1"/>
  <c r="BH42" i="5" s="1"/>
  <c r="BG39" i="5"/>
  <c r="BG40" i="5" s="1"/>
  <c r="BG41" i="5" s="1"/>
  <c r="BG42" i="5" s="1"/>
  <c r="BG43" i="5" s="1"/>
  <c r="BG44" i="5" s="1"/>
  <c r="BG45" i="5" s="1"/>
  <c r="BG46" i="5" s="1"/>
  <c r="BG47" i="5" s="1"/>
  <c r="BG48" i="5" s="1"/>
  <c r="BG49" i="5" s="1"/>
  <c r="BF38" i="5"/>
  <c r="BF39" i="5" s="1"/>
  <c r="BF40" i="5" s="1"/>
  <c r="BF41" i="5" s="1"/>
  <c r="BF42" i="5" s="1"/>
  <c r="BF43" i="5" s="1"/>
  <c r="BF44" i="5" s="1"/>
  <c r="BF45" i="5" s="1"/>
  <c r="BF46" i="5" s="1"/>
  <c r="BF47" i="5" s="1"/>
  <c r="BF48" i="5" s="1"/>
  <c r="BF49" i="5" s="1"/>
  <c r="BF50" i="5" s="1"/>
  <c r="BF51" i="5" s="1"/>
  <c r="BF52" i="5" s="1"/>
  <c r="BE38" i="5"/>
  <c r="BE39" i="5" s="1"/>
  <c r="BE40" i="5" s="1"/>
  <c r="BE41" i="5" s="1"/>
  <c r="BE42" i="5" s="1"/>
  <c r="BE43" i="5" s="1"/>
  <c r="BE44" i="5" s="1"/>
  <c r="BE45" i="5" s="1"/>
  <c r="BE46" i="5" s="1"/>
  <c r="BE47" i="5" s="1"/>
  <c r="BE48" i="5" s="1"/>
  <c r="BE49" i="5" s="1"/>
  <c r="BE50" i="5" s="1"/>
  <c r="BE51" i="5" s="1"/>
  <c r="BE52" i="5" s="1"/>
  <c r="BE53" i="5" s="1"/>
  <c r="BE54" i="5" s="1"/>
  <c r="BE55" i="5" s="1"/>
  <c r="BE56" i="5" s="1"/>
  <c r="BE57" i="5" s="1"/>
  <c r="BE58" i="5" s="1"/>
  <c r="BE59" i="5" s="1"/>
  <c r="BE60" i="5" s="1"/>
  <c r="BE61" i="5" s="1"/>
  <c r="BE62" i="5" s="1"/>
  <c r="BE63" i="5" s="1"/>
  <c r="BE64" i="5" s="1"/>
  <c r="BE65" i="5" s="1"/>
  <c r="BE66" i="5" s="1"/>
  <c r="BE67" i="5" s="1"/>
  <c r="BE68" i="5" s="1"/>
  <c r="BD34" i="5" l="1"/>
  <c r="BH34" i="5"/>
  <c r="BE34" i="5"/>
  <c r="BG34" i="5"/>
  <c r="BF34" i="5"/>
  <c r="BP8" i="4" l="1"/>
  <c r="AV157" i="4"/>
  <c r="BP157" i="4" s="1"/>
  <c r="U20" i="10"/>
  <c r="U11" i="10"/>
  <c r="U20" i="6"/>
  <c r="BP9" i="9" l="1"/>
  <c r="AQ101" i="6"/>
  <c r="AQ100" i="6"/>
  <c r="AQ99" i="6"/>
  <c r="AQ98" i="6"/>
  <c r="AQ97" i="6"/>
  <c r="AQ96" i="6"/>
  <c r="AQ95" i="6"/>
  <c r="AQ94" i="6"/>
  <c r="AQ93" i="6"/>
  <c r="AQ25" i="6"/>
  <c r="Y100" i="6" l="1"/>
  <c r="Y99" i="6"/>
  <c r="Y94" i="6"/>
  <c r="Y98" i="6"/>
  <c r="Y97" i="6"/>
  <c r="Y96" i="6"/>
  <c r="Y95" i="6"/>
  <c r="Y101" i="6"/>
  <c r="AE93" i="6"/>
  <c r="Y93" i="6"/>
  <c r="AE101" i="6"/>
  <c r="AE94" i="6"/>
  <c r="AE97" i="6"/>
  <c r="AE98" i="6"/>
  <c r="AE96" i="6"/>
  <c r="AE99" i="6"/>
  <c r="Y92" i="6"/>
  <c r="AZ92" i="6"/>
  <c r="BA92" i="6" s="1"/>
  <c r="Y102" i="6" l="1"/>
  <c r="AK98" i="6"/>
  <c r="AK101" i="6"/>
  <c r="AK99" i="6"/>
  <c r="AK93" i="6"/>
  <c r="AK97" i="6"/>
  <c r="AK96" i="6"/>
  <c r="AK94" i="6"/>
  <c r="AE95" i="6"/>
  <c r="AE92" i="6"/>
  <c r="AE100" i="6"/>
  <c r="AQ100" i="10"/>
  <c r="AE102" i="6" l="1"/>
  <c r="AK95" i="6"/>
  <c r="AK92" i="6"/>
  <c r="AK100" i="6"/>
  <c r="Y100" i="10"/>
  <c r="AE100" i="10"/>
  <c r="AK102" i="6" l="1"/>
  <c r="AF76" i="6" s="1"/>
  <c r="AK100" i="10"/>
  <c r="AI93" i="9" l="1"/>
  <c r="BP8" i="9" l="1"/>
  <c r="AQ101" i="10"/>
  <c r="AQ99" i="10"/>
  <c r="AQ98" i="10"/>
  <c r="AQ97" i="10"/>
  <c r="AQ96" i="10"/>
  <c r="AQ95" i="10"/>
  <c r="AQ94" i="10"/>
  <c r="AQ93" i="10"/>
  <c r="AQ25" i="10"/>
  <c r="AQ22" i="10"/>
  <c r="L5" i="9"/>
  <c r="AO101" i="9" s="1"/>
  <c r="L7" i="9"/>
  <c r="BP7" i="9" s="1"/>
  <c r="AN5" i="9"/>
  <c r="Y96" i="9" s="1"/>
  <c r="AO103" i="9" l="1"/>
  <c r="D45" i="10"/>
  <c r="M104" i="10" s="1"/>
  <c r="AV92" i="10"/>
  <c r="AW92" i="10" s="1"/>
  <c r="AE94" i="10"/>
  <c r="E93" i="9"/>
  <c r="Y101" i="10" l="1"/>
  <c r="Y99" i="10"/>
  <c r="Y98" i="10"/>
  <c r="Y97" i="10"/>
  <c r="Y96" i="10"/>
  <c r="Y95" i="10"/>
  <c r="Y94" i="10"/>
  <c r="AK94" i="10" s="1"/>
  <c r="Y93" i="10"/>
  <c r="Y92" i="10"/>
  <c r="AE101" i="10"/>
  <c r="AE96" i="10"/>
  <c r="AE97" i="10"/>
  <c r="AE95" i="10"/>
  <c r="AE93" i="10"/>
  <c r="AE99" i="10"/>
  <c r="AZ92" i="10"/>
  <c r="BA92" i="10" s="1"/>
  <c r="AE98" i="10"/>
  <c r="Y102" i="10" l="1"/>
  <c r="AK97" i="10"/>
  <c r="AK96" i="10"/>
  <c r="AE92" i="10"/>
  <c r="AE102" i="10" s="1"/>
  <c r="AK101" i="10"/>
  <c r="AK99" i="10"/>
  <c r="AK95" i="10"/>
  <c r="AK93" i="10"/>
  <c r="AK98" i="10"/>
  <c r="AK92" i="10" l="1"/>
  <c r="AK102" i="10" l="1"/>
  <c r="AF76" i="10" s="1"/>
  <c r="AI192" i="4" l="1"/>
  <c r="L7" i="4"/>
  <c r="BP7" i="4" s="1"/>
  <c r="AN5" i="4"/>
  <c r="L5" i="4"/>
  <c r="D45" i="6" s="1"/>
  <c r="M104" i="6" s="1"/>
  <c r="R12" i="9" l="1"/>
  <c r="R13" i="9"/>
  <c r="K13" i="9"/>
  <c r="Y12" i="9"/>
  <c r="AV77" i="4"/>
  <c r="R14" i="9" l="1"/>
  <c r="K14" i="9"/>
  <c r="AH7" i="9"/>
  <c r="AF12" i="9"/>
  <c r="Y13" i="9"/>
  <c r="AF13" i="9" l="1"/>
  <c r="Y14" i="9"/>
  <c r="AH7" i="4"/>
  <c r="R15" i="9" l="1"/>
  <c r="K15" i="9"/>
  <c r="AF14" i="9"/>
  <c r="Y15" i="9"/>
  <c r="R16" i="9" l="1"/>
  <c r="K16" i="9"/>
  <c r="AF15" i="9"/>
  <c r="Y16" i="9"/>
  <c r="R17" i="9" l="1"/>
  <c r="K17" i="9"/>
  <c r="AF16" i="9"/>
  <c r="Y17" i="9"/>
  <c r="R18" i="9" l="1"/>
  <c r="K18" i="9"/>
  <c r="AF17" i="9"/>
  <c r="BP48" i="4"/>
  <c r="BQ48" i="4" s="1"/>
  <c r="R19" i="9" l="1"/>
  <c r="K19" i="9"/>
  <c r="BA26" i="9"/>
  <c r="Y18" i="9"/>
  <c r="AF18" i="9" s="1"/>
  <c r="Y19" i="9" l="1"/>
  <c r="AF19" i="9" s="1"/>
  <c r="R20" i="9"/>
  <c r="K20" i="9"/>
  <c r="Y20" i="9"/>
  <c r="R22" i="9" l="1"/>
  <c r="K22" i="9"/>
  <c r="R21" i="9"/>
  <c r="K21" i="9"/>
  <c r="AF20" i="9"/>
  <c r="Y22" i="9"/>
  <c r="Y21" i="9" l="1"/>
  <c r="AF21" i="9"/>
  <c r="AF22" i="9"/>
  <c r="R23" i="9"/>
  <c r="R24" i="9" s="1"/>
  <c r="K23" i="9"/>
  <c r="K24" i="4"/>
  <c r="Q24" i="4" l="1"/>
  <c r="AJ103" i="4" s="1"/>
  <c r="W24" i="4"/>
  <c r="AV42" i="4" s="1"/>
  <c r="BP42" i="4" s="1"/>
  <c r="Y23" i="9"/>
  <c r="Y24" i="9" s="1"/>
  <c r="K24" i="9"/>
  <c r="AV58" i="9" s="1"/>
  <c r="BL57" i="9" s="1"/>
  <c r="Y24" i="4"/>
  <c r="Y195" i="4"/>
  <c r="AO202" i="4"/>
  <c r="E192" i="4"/>
  <c r="AO200" i="4"/>
  <c r="AV105" i="4" l="1"/>
  <c r="BL104" i="4" s="1"/>
  <c r="AF23" i="9"/>
  <c r="AF24" i="9" s="1"/>
  <c r="BR48" i="4"/>
  <c r="BS48" i="4" s="1"/>
  <c r="AV139" i="4"/>
  <c r="AV36" i="4" l="1"/>
  <c r="AV44" i="4" s="1"/>
  <c r="AV50" i="4" s="1"/>
  <c r="AV36" i="9"/>
  <c r="AV40" i="9" s="1"/>
  <c r="AV42" i="9" s="1"/>
  <c r="AV54" i="9" s="1"/>
  <c r="AV48" i="4"/>
  <c r="AJ60" i="9"/>
  <c r="AV137" i="4"/>
  <c r="AV107" i="4"/>
  <c r="BL106" i="4" s="1"/>
  <c r="AJ155" i="4"/>
  <c r="BP155" i="4" s="1"/>
  <c r="AV97" i="4"/>
  <c r="AV95" i="4"/>
  <c r="AV93" i="4"/>
  <c r="AV91" i="4"/>
  <c r="AV89" i="4"/>
  <c r="AV52" i="4" l="1"/>
  <c r="BP72" i="4" s="1"/>
  <c r="AV72" i="4" s="1"/>
  <c r="AV60" i="9"/>
  <c r="AV62" i="9" s="1"/>
  <c r="AV155" i="4"/>
  <c r="AJ79" i="4"/>
  <c r="AV66" i="9" l="1"/>
  <c r="AV68" i="9" s="1"/>
  <c r="AQ62" i="10"/>
  <c r="AV79" i="4"/>
  <c r="BP76" i="4" s="1"/>
  <c r="AJ99" i="4"/>
  <c r="BL99" i="4" s="1"/>
  <c r="BP62" i="9"/>
  <c r="AF64" i="10"/>
  <c r="AF62" i="10" s="1"/>
  <c r="AV83" i="4"/>
  <c r="AV81" i="4"/>
  <c r="AQ71" i="10" l="1"/>
  <c r="AR71" i="10" s="1"/>
  <c r="BP67" i="9"/>
  <c r="AV99" i="4"/>
  <c r="AF66" i="10"/>
  <c r="AV70" i="9"/>
  <c r="AV72" i="9" s="1"/>
  <c r="AV74" i="9" s="1"/>
  <c r="AV87" i="4"/>
  <c r="AQ69" i="10" l="1"/>
  <c r="AR69" i="10" s="1"/>
  <c r="AQ72" i="10"/>
  <c r="AR72" i="10" l="1"/>
  <c r="AF71" i="10" s="1"/>
  <c r="AQ70" i="10"/>
  <c r="AV85" i="4"/>
  <c r="AR70" i="10" l="1"/>
  <c r="AF69" i="10" s="1"/>
  <c r="AF73" i="10" s="1"/>
  <c r="AF79" i="10" s="1"/>
  <c r="AV76" i="9" s="1"/>
  <c r="B78" i="9" s="1"/>
  <c r="AV101" i="4"/>
  <c r="AV103" i="4" s="1"/>
  <c r="AV78" i="9" l="1"/>
  <c r="BQ82" i="9" s="1"/>
  <c r="BR82" i="9" s="1"/>
  <c r="BC84" i="9" l="1"/>
  <c r="BC87" i="9" s="1"/>
  <c r="B89" i="9" l="1"/>
  <c r="AV89" i="9"/>
  <c r="AV145" i="4"/>
  <c r="BP144" i="4" l="1"/>
  <c r="BL141" i="4" l="1"/>
  <c r="BK141" i="4" s="1"/>
  <c r="AV133" i="4"/>
  <c r="BP159" i="4" s="1"/>
  <c r="BL143" i="4"/>
  <c r="BK143" i="4" s="1"/>
  <c r="AV161" i="4" l="1"/>
  <c r="AQ62" i="6" l="1"/>
  <c r="AF64" i="6"/>
  <c r="AF62" i="6" s="1"/>
  <c r="BP160" i="4"/>
  <c r="AV165" i="4"/>
  <c r="AV167" i="4" l="1"/>
  <c r="AV169" i="4" s="1"/>
  <c r="AQ71" i="6"/>
  <c r="AR71" i="6" s="1"/>
  <c r="AF66" i="6"/>
  <c r="AQ72" i="6" l="1"/>
  <c r="AR72" i="6" s="1"/>
  <c r="AF71" i="6" s="1"/>
  <c r="AV171" i="4"/>
  <c r="AV173" i="4" s="1"/>
  <c r="AQ69" i="6"/>
  <c r="AR69" i="6" s="1"/>
  <c r="AQ70" i="6" l="1"/>
  <c r="AR70" i="6" l="1"/>
  <c r="AF69" i="6" s="1"/>
  <c r="AF73" i="6" s="1"/>
  <c r="AF79" i="6" s="1"/>
  <c r="AV175" i="4" s="1"/>
  <c r="B177" i="4" l="1"/>
  <c r="AV177" i="4"/>
  <c r="BQ181" i="4" l="1"/>
  <c r="BR181" i="4" s="1"/>
  <c r="BC183" i="4" l="1"/>
  <c r="BC186" i="4" l="1"/>
  <c r="AV188" i="4" s="1"/>
  <c r="B18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V26" authorId="0" shapeId="0" xr:uid="{190586A5-EC8A-446B-9438-B99851585200}">
      <text>
        <r>
          <rPr>
            <b/>
            <sz val="9"/>
            <color indexed="81"/>
            <rFont val="Tahoma"/>
            <family val="2"/>
          </rPr>
          <t>Leave Travel Concession:</t>
        </r>
        <r>
          <rPr>
            <sz val="9"/>
            <color indexed="81"/>
            <rFont val="Tahoma"/>
            <family val="2"/>
          </rPr>
          <t xml:space="preserve">
Please enter the amount received as Leave Travel Concession.
</t>
        </r>
      </text>
    </comment>
    <comment ref="V28" authorId="0" shapeId="0" xr:uid="{594DA5AE-7721-42EC-9A49-0C2957987F0D}">
      <text>
        <r>
          <rPr>
            <b/>
            <sz val="9"/>
            <color indexed="81"/>
            <rFont val="Tahoma"/>
            <family val="2"/>
          </rPr>
          <t>Earned Leave Encashment:</t>
        </r>
        <r>
          <rPr>
            <sz val="9"/>
            <color indexed="81"/>
            <rFont val="Tahoma"/>
            <family val="2"/>
          </rPr>
          <t xml:space="preserve">
Please enter the amount received as Earned Leave Encashment.
</t>
        </r>
        <r>
          <rPr>
            <b/>
            <sz val="9"/>
            <color indexed="81"/>
            <rFont val="Tahoma"/>
            <family val="2"/>
          </rPr>
          <t>16. For the purposes of this Part, “salary” includes—</t>
        </r>
        <r>
          <rPr>
            <sz val="9"/>
            <color indexed="81"/>
            <rFont val="Tahoma"/>
            <family val="2"/>
          </rPr>
          <t xml:space="preserve">
(h) any payment received by an employee in respect of any period of leave not availed of by him;</t>
        </r>
      </text>
    </comment>
    <comment ref="BA28" authorId="0" shapeId="0" xr:uid="{458EB316-268A-4483-8038-AD311227B9EA}">
      <text>
        <r>
          <rPr>
            <b/>
            <sz val="9"/>
            <color indexed="81"/>
            <rFont val="Tahoma"/>
            <family val="2"/>
          </rPr>
          <t xml:space="preserve">Income deemed to be received :
7. The following incomes shall be deemed to be received in the previous year :—
 (iii) </t>
        </r>
        <r>
          <rPr>
            <sz val="9"/>
            <color indexed="81"/>
            <rFont val="Tahoma"/>
            <family val="2"/>
          </rPr>
          <t xml:space="preserve">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 xml:space="preserve">80CCD.
"Salary"
17. For the purposes of sections 15 and 16 and of this section,—
(viii) </t>
        </r>
        <r>
          <rPr>
            <sz val="9"/>
            <color indexed="81"/>
            <rFont val="Tahoma"/>
            <family val="2"/>
          </rPr>
          <t xml:space="preserve">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80CCD;</t>
        </r>
      </text>
    </comment>
    <comment ref="V30" authorId="0" shapeId="0" xr:uid="{C02E30C1-ABF2-4F77-A948-38C6C785F253}">
      <text>
        <r>
          <rPr>
            <b/>
            <sz val="9"/>
            <color indexed="81"/>
            <rFont val="Tahoma"/>
            <family val="2"/>
          </rPr>
          <t xml:space="preserve">Any other Allowances:
</t>
        </r>
        <r>
          <rPr>
            <sz val="9"/>
            <color indexed="81"/>
            <rFont val="Tahoma"/>
            <family val="2"/>
          </rPr>
          <t>Please enter the amounts received as allowances as part of your salary, which are not mentioned above.</t>
        </r>
        <r>
          <rPr>
            <sz val="9"/>
            <color indexed="81"/>
            <rFont val="Tahoma"/>
            <family val="2"/>
          </rPr>
          <t xml:space="preserve">
</t>
        </r>
      </text>
    </comment>
    <comment ref="BA30" authorId="0" shapeId="0" xr:uid="{EF242564-F9BE-4E90-B2AB-B55B65CE5671}">
      <text>
        <r>
          <rPr>
            <b/>
            <sz val="9"/>
            <color indexed="81"/>
            <rFont val="Tahoma"/>
            <family val="2"/>
          </rPr>
          <t xml:space="preserve">NPS Arrear - Employer's Contribution to NPS:
</t>
        </r>
        <r>
          <rPr>
            <sz val="9"/>
            <color indexed="81"/>
            <rFont val="Tahoma"/>
            <family val="2"/>
          </rPr>
          <t xml:space="preserve">
Please enter the Employer's Contribution to NPS from any of the arrears received.
</t>
        </r>
      </text>
    </comment>
    <comment ref="N34" authorId="0" shapeId="0" xr:uid="{E16F990C-39DE-4F93-A31A-D3475EA6D0B9}">
      <text>
        <r>
          <rPr>
            <b/>
            <sz val="9"/>
            <color indexed="81"/>
            <rFont val="Tahoma"/>
            <family val="2"/>
          </rPr>
          <t>Salary Arrear to PF</t>
        </r>
        <r>
          <rPr>
            <sz val="9"/>
            <color indexed="81"/>
            <rFont val="Tahoma"/>
            <family val="2"/>
          </rPr>
          <t>:
Please enter the amount of salary Arrear credited to PF.</t>
        </r>
      </text>
    </comment>
    <comment ref="AH34" authorId="0" shapeId="0" xr:uid="{C0382AC4-3DDA-45D1-8AF7-294844C6B43D}">
      <text>
        <r>
          <rPr>
            <b/>
            <sz val="9"/>
            <color indexed="81"/>
            <rFont val="Tahoma"/>
            <family val="2"/>
          </rPr>
          <t xml:space="preserve">15. (1) The following income shall be chargeable to income-tax under the head “Salaries”:—
</t>
        </r>
        <r>
          <rPr>
            <sz val="9"/>
            <color indexed="81"/>
            <rFont val="Tahoma"/>
            <family val="2"/>
          </rPr>
          <t xml:space="preserve">(c) any arrears of salary paid or allowed to him in the tax year by or on behalf of an employer, if not charged to income-tax for any earlier tax year.
</t>
        </r>
        <r>
          <rPr>
            <b/>
            <sz val="9"/>
            <color indexed="81"/>
            <rFont val="Tahoma"/>
            <family val="2"/>
          </rPr>
          <t xml:space="preserve">
Salary Arrear 1 </t>
        </r>
        <r>
          <rPr>
            <sz val="9"/>
            <color indexed="81"/>
            <rFont val="Tahoma"/>
            <family val="2"/>
          </rPr>
          <t>:
Please enter the amount of Salary Arrear received.</t>
        </r>
      </text>
    </comment>
    <comment ref="BC34" authorId="0" shapeId="0" xr:uid="{1C5E1304-60AE-4684-B641-40B5F50B1F09}">
      <text>
        <r>
          <rPr>
            <b/>
            <sz val="9"/>
            <color indexed="81"/>
            <rFont val="Tahoma"/>
            <family val="2"/>
          </rPr>
          <t xml:space="preserve">15. (1) The following income shall be chargeable to income-tax under the head “Salaries”:—
</t>
        </r>
        <r>
          <rPr>
            <sz val="9"/>
            <color indexed="81"/>
            <rFont val="Tahoma"/>
            <family val="2"/>
          </rPr>
          <t>(c) any arrears of salary paid or allowed to him in the tax year by or on behalf of an employer, if not charged to income-tax for any earlier tax year.</t>
        </r>
        <r>
          <rPr>
            <b/>
            <sz val="9"/>
            <color indexed="81"/>
            <rFont val="Tahoma"/>
            <family val="2"/>
          </rPr>
          <t xml:space="preserve">
Salary Arrear 2 :
</t>
        </r>
        <r>
          <rPr>
            <sz val="9"/>
            <color indexed="81"/>
            <rFont val="Tahoma"/>
            <family val="2"/>
          </rPr>
          <t>Please enter the amount of Salary Arrear received.</t>
        </r>
      </text>
    </comment>
    <comment ref="AK40" authorId="0" shapeId="0" xr:uid="{3D25DFCD-5AAD-46D1-8660-86E084E1D8EF}">
      <text>
        <r>
          <rPr>
            <b/>
            <sz val="9"/>
            <color indexed="81"/>
            <rFont val="Tahoma"/>
            <family val="2"/>
          </rPr>
          <t xml:space="preserve">
11. Income not to be included in total income.</t>
        </r>
        <r>
          <rPr>
            <sz val="9"/>
            <color indexed="81"/>
            <rFont val="Tahoma"/>
            <family val="2"/>
          </rPr>
          <t xml:space="preserve">
(</t>
        </r>
        <r>
          <rPr>
            <b/>
            <sz val="9"/>
            <color indexed="81"/>
            <rFont val="Tahoma"/>
            <family val="2"/>
          </rPr>
          <t>11(1)-SCHEDULE III(8)</t>
        </r>
        <r>
          <rPr>
            <sz val="9"/>
            <color indexed="81"/>
            <rFont val="Tahoma"/>
            <family val="2"/>
          </rPr>
          <t xml:space="preserve">) The value of any travel concession or assistance.— An individual.
(a)Such sum is received by, or due to, such individual—
     (i)from his employer for himselfand his family, in connection with his proceeding on leave to any place in India;
     (ii)from his employer or formeremployer for himself and his family, in connection with his proceeding to any place in India   after retirement from service or after the termination of his service;       
(b)Such sum is subject to suchconditions as prescribed (including conditions as to number of journeys and the amount which shall be exempt per head);
(c)The conditions in clause (b) shall have regard to the travel concession or assistance granted to the employees of the Central Government; and
(d)Sum not included in the </t>
        </r>
        <r>
          <rPr>
            <b/>
            <sz val="9"/>
            <color indexed="81"/>
            <rFont val="Tahoma"/>
            <family val="2"/>
          </rPr>
          <t>total income shall in no case exceed the amount of expenses actually incurred for the purpose of such travel.</t>
        </r>
      </text>
    </comment>
    <comment ref="AK42" authorId="0" shapeId="0" xr:uid="{6E667B65-1A55-4535-83E2-F0EDD275DC00}">
      <text>
        <r>
          <rPr>
            <b/>
            <sz val="9"/>
            <color indexed="81"/>
            <rFont val="Tahoma"/>
            <family val="2"/>
          </rPr>
          <t xml:space="preserve">11. Incomes not included in total income.
</t>
        </r>
        <r>
          <rPr>
            <sz val="9"/>
            <color indexed="81"/>
            <rFont val="Tahoma"/>
            <family val="2"/>
          </rPr>
          <t xml:space="preserve">
11. </t>
        </r>
        <r>
          <rPr>
            <b/>
            <sz val="9"/>
            <color indexed="81"/>
            <rFont val="Tahoma"/>
            <family val="2"/>
          </rPr>
          <t>Any special allowance from employer</t>
        </r>
        <r>
          <rPr>
            <sz val="9"/>
            <color indexed="81"/>
            <rFont val="Tahoma"/>
            <family val="2"/>
          </rPr>
          <t>.
(a) Such allowance is specifically granted to meet expenditure actually incurred on payment of rent (by whatever name called) in respect of residential accommodation occupied by the assessee;
(b) such allowance is to such extent as prescribed having regard to the area or place in which such accommodation is situate and other relevant considerations;
(c) the residential accommodation occupied by the assessee is not owned by him; and
(d) the assessee has actually incurred expenditure on payment of rent (by whatever name called) in respect of the residential accommodation occupied by him.</t>
        </r>
      </text>
    </comment>
    <comment ref="AV48" authorId="0" shapeId="0" xr:uid="{E3CAC99E-29C4-4600-A88A-D4528A5F9741}">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t>
        </r>
        <r>
          <rPr>
            <sz val="9"/>
            <color indexed="81"/>
            <rFont val="Tahoma"/>
            <family val="2"/>
          </rPr>
          <t xml:space="preserve">
</t>
        </r>
        <r>
          <rPr>
            <b/>
            <sz val="9"/>
            <color indexed="81"/>
            <rFont val="Tahoma"/>
            <family val="2"/>
          </rPr>
          <t>Sl. No.</t>
        </r>
        <r>
          <rPr>
            <sz val="9"/>
            <color indexed="81"/>
            <rFont val="Tahoma"/>
            <family val="2"/>
          </rPr>
          <t xml:space="preserve">  A 
1.
</t>
        </r>
        <r>
          <rPr>
            <b/>
            <sz val="9"/>
            <color indexed="81"/>
            <rFont val="Tahoma"/>
            <family val="2"/>
          </rPr>
          <t>Nature of sum</t>
        </r>
        <r>
          <rPr>
            <sz val="9"/>
            <color indexed="81"/>
            <rFont val="Tahoma"/>
            <family val="2"/>
          </rPr>
          <t xml:space="preserve">      B 
     Sum paid by the assessee as a </t>
        </r>
        <r>
          <rPr>
            <b/>
            <sz val="9"/>
            <color indexed="81"/>
            <rFont val="Tahoma"/>
            <family val="2"/>
          </rPr>
          <t>tax on employment</t>
        </r>
        <r>
          <rPr>
            <sz val="9"/>
            <color indexed="81"/>
            <rFont val="Tahoma"/>
            <family val="2"/>
          </rPr>
          <t xml:space="preserve"> as per article 276(2) of the Constitution, leviable by or under any law.
 </t>
        </r>
        <r>
          <rPr>
            <b/>
            <sz val="9"/>
            <color indexed="81"/>
            <rFont val="Tahoma"/>
            <family val="2"/>
          </rPr>
          <t>Amount of deduction</t>
        </r>
        <r>
          <rPr>
            <sz val="9"/>
            <color indexed="81"/>
            <rFont val="Tahoma"/>
            <family val="2"/>
          </rPr>
          <t xml:space="preserve">  C
Entire amount.</t>
        </r>
      </text>
    </comment>
    <comment ref="AV50" authorId="0" shapeId="0" xr:uid="{00000000-0006-0000-0000-000002000000}">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Sl. No.  </t>
        </r>
        <r>
          <rPr>
            <sz val="9"/>
            <color indexed="81"/>
            <rFont val="Tahoma"/>
            <family val="2"/>
          </rPr>
          <t xml:space="preserve">A 
2.
</t>
        </r>
        <r>
          <rPr>
            <b/>
            <sz val="9"/>
            <color indexed="81"/>
            <rFont val="Tahoma"/>
            <family val="2"/>
          </rPr>
          <t xml:space="preserve">
Nature of sum</t>
        </r>
        <r>
          <rPr>
            <sz val="9"/>
            <color indexed="81"/>
            <rFont val="Tahoma"/>
            <family val="2"/>
          </rPr>
          <t xml:space="preserve">      B 
     Standard deduction.
 </t>
        </r>
        <r>
          <rPr>
            <b/>
            <sz val="9"/>
            <color indexed="81"/>
            <rFont val="Tahoma"/>
            <family val="2"/>
          </rPr>
          <t>Amount of deduction</t>
        </r>
        <r>
          <rPr>
            <sz val="9"/>
            <color indexed="81"/>
            <rFont val="Tahoma"/>
            <family val="2"/>
          </rPr>
          <t xml:space="preserve">  C</t>
        </r>
        <r>
          <rPr>
            <b/>
            <sz val="9"/>
            <color indexed="81"/>
            <rFont val="Tahoma"/>
            <family val="2"/>
          </rPr>
          <t xml:space="preserve">
</t>
        </r>
        <r>
          <rPr>
            <sz val="9"/>
            <color indexed="81"/>
            <rFont val="Tahoma"/>
            <family val="2"/>
          </rPr>
          <t xml:space="preserve">
(b) </t>
        </r>
        <r>
          <rPr>
            <b/>
            <sz val="9"/>
            <color indexed="81"/>
            <rFont val="Tahoma"/>
            <family val="2"/>
          </rPr>
          <t>₹ 50,000</t>
        </r>
        <r>
          <rPr>
            <sz val="9"/>
            <color indexed="81"/>
            <rFont val="Tahoma"/>
            <family val="2"/>
          </rPr>
          <t xml:space="preserve"> or the salary, whichever is less, in any other case.</t>
        </r>
      </text>
    </comment>
    <comment ref="AV58" authorId="0" shapeId="0" xr:uid="{00000000-0006-0000-0000-000003000000}">
      <text>
        <r>
          <rPr>
            <b/>
            <sz val="9"/>
            <color indexed="81"/>
            <rFont val="Tahoma"/>
            <family val="2"/>
          </rPr>
          <t xml:space="preserve">
20. (1)</t>
        </r>
        <r>
          <rPr>
            <sz val="9"/>
            <color indexed="81"/>
            <rFont val="Tahoma"/>
            <family val="2"/>
          </rPr>
          <t xml:space="preserve"> The annual value of property consisting of any buildings or lands appurtenant thereto, owned by the assessee shall be chargeable to income-tax under the head “Income from house property”.
</t>
        </r>
        <r>
          <rPr>
            <b/>
            <sz val="9"/>
            <color indexed="81"/>
            <rFont val="Tahoma"/>
            <family val="2"/>
          </rPr>
          <t xml:space="preserve">21. (6) </t>
        </r>
        <r>
          <rPr>
            <sz val="9"/>
            <color indexed="81"/>
            <rFont val="Tahoma"/>
            <family val="2"/>
          </rPr>
          <t xml:space="preserve">The annual value of the property consisting of a house or any part thereof shall be taken as nil, if the owner occupies it for his own residence or cannot actually occupy it due to any reason.
</t>
        </r>
        <r>
          <rPr>
            <b/>
            <sz val="9"/>
            <color indexed="81"/>
            <rFont val="Tahoma"/>
            <family val="2"/>
          </rPr>
          <t>22. (1)</t>
        </r>
        <r>
          <rPr>
            <sz val="9"/>
            <color indexed="81"/>
            <rFont val="Tahoma"/>
            <family val="2"/>
          </rPr>
          <t xml:space="preserve"> The income under the head “Income from house property” shall be computed after allowing the following deductions:––
(a) 30% of the annual value;
(b) where the property has been acquired, constructed, repaired, renewed or reconstructed with borrowed capital, the amount of any interest payable on such capital.
</t>
        </r>
        <r>
          <rPr>
            <b/>
            <sz val="9"/>
            <color indexed="81"/>
            <rFont val="Tahoma"/>
            <family val="2"/>
          </rPr>
          <t>Deductions from income from house property.</t>
        </r>
        <r>
          <rPr>
            <sz val="9"/>
            <color indexed="81"/>
            <rFont val="Tahoma"/>
            <family val="2"/>
          </rPr>
          <t xml:space="preserve">
</t>
        </r>
        <r>
          <rPr>
            <b/>
            <sz val="9"/>
            <color indexed="81"/>
            <rFont val="Tahoma"/>
            <family val="2"/>
          </rPr>
          <t>22. (2)</t>
        </r>
        <r>
          <rPr>
            <sz val="9"/>
            <color indexed="81"/>
            <rFont val="Tahoma"/>
            <family val="2"/>
          </rPr>
          <t xml:space="preserve"> In case of property or properties referred to in section 21(6), the aggregate amount of deduction under sub-section (1)(b) shall not exceed—
</t>
        </r>
        <r>
          <rPr>
            <b/>
            <sz val="9"/>
            <color indexed="81"/>
            <rFont val="Tahoma"/>
            <family val="2"/>
          </rPr>
          <t>(a) two lakh rupees</t>
        </r>
        <r>
          <rPr>
            <sz val="9"/>
            <color indexed="81"/>
            <rFont val="Tahoma"/>
            <family val="2"/>
          </rPr>
          <t>, subject to the following conditions:––
(i) the property has been acquired or constructed with borrowed capital and such acquisition or construction is completed within five years from the end of tax year in which capital was borrowed;
(ii) if capital is borrowed during any period prior to the tax year in which the property has been acquired or constructed, any interest payable for the said prior period shall be allowed as a deduction in five equal instalments for the said tax year and for each of the four immediately succeeding tax years;
(iii) the assessee furnishes a certificate from the person to whom interest is payable on such capital; and</t>
        </r>
        <r>
          <rPr>
            <b/>
            <sz val="9"/>
            <color indexed="81"/>
            <rFont val="Tahoma"/>
            <family val="2"/>
          </rPr>
          <t xml:space="preserve">
</t>
        </r>
        <r>
          <rPr>
            <sz val="9"/>
            <color indexed="81"/>
            <rFont val="Tahoma"/>
            <family val="2"/>
          </rPr>
          <t xml:space="preserve">
</t>
        </r>
        <r>
          <rPr>
            <b/>
            <sz val="9"/>
            <color indexed="81"/>
            <rFont val="Tahoma"/>
            <family val="2"/>
          </rPr>
          <t>(b) thirty thousand rupees</t>
        </r>
        <r>
          <rPr>
            <sz val="9"/>
            <color indexed="81"/>
            <rFont val="Tahoma"/>
            <family val="2"/>
          </rPr>
          <t xml:space="preserve"> in any other case.
(3) The deduction under sub-section (2)(a)(ii) shall be computed after reducing any amount already allowed as a deduction under any other provisions of this Act.
(4) The certificate referred to in sub-section (2) shall specify––
(a) the amount of interest payable on capital borrowed; and
(b) the interest payable on any new loan, where subsequent to the capital borrowed, the assessee has taken any such loan for repayment of whole or any part of such capital.
(5) The aggregate of the amounts of deduction under sub-section (2) in respect of properties of the nature referred to in section 21(6) shall not exceed two lakh rupees.</t>
        </r>
        <r>
          <rPr>
            <b/>
            <sz val="9"/>
            <color indexed="81"/>
            <rFont val="Tahoma"/>
            <family val="2"/>
          </rPr>
          <t xml:space="preserve">
</t>
        </r>
      </text>
    </comment>
    <comment ref="AV64" authorId="0" shapeId="0" xr:uid="{00000000-0006-0000-0000-000004000000}">
      <text>
        <r>
          <rPr>
            <b/>
            <sz val="9"/>
            <color indexed="81"/>
            <rFont val="Tahoma"/>
            <family val="2"/>
          </rPr>
          <t>Income in respect of interest on deposits in savings account:</t>
        </r>
        <r>
          <rPr>
            <sz val="9"/>
            <color indexed="81"/>
            <rFont val="Tahoma"/>
            <family val="2"/>
          </rPr>
          <t xml:space="preserve">
income by way of interest on deposits with––
(i) a banking company to which the Banking Regulation Act, 1949, applies (including any bank or banking institution referred to in section 51 of that Act); or
Deduction for interest on deposits
(ii) a co-operative society engaged in carrying on the business of banking (including a co-operative land mortgage bank or a co-operative land development bank); or
(iii) a Post Office as defined in section 2(k) of the Post Office Act, 2023.</t>
        </r>
      </text>
    </comment>
    <comment ref="AV66" authorId="0" shapeId="0" xr:uid="{12030DD2-1DBB-4A84-8B26-9E8FF04C1BC0}">
      <text>
        <r>
          <rPr>
            <b/>
            <sz val="9"/>
            <color indexed="81"/>
            <rFont val="Tahoma"/>
            <family val="2"/>
          </rPr>
          <t>Time Deposits:</t>
        </r>
        <r>
          <rPr>
            <sz val="9"/>
            <color indexed="81"/>
            <rFont val="Tahoma"/>
            <family val="2"/>
          </rPr>
          <t xml:space="preserve">
In this section, “time deposits” means the deposits repayable on expiry of fixed periods.</t>
        </r>
      </text>
    </comment>
    <comment ref="AV70" authorId="0" shapeId="0" xr:uid="{80570286-7265-4528-BD0E-19ABA1F47AFD}">
      <text>
        <r>
          <rPr>
            <b/>
            <sz val="9"/>
            <color indexed="81"/>
            <rFont val="Tahoma"/>
            <family val="2"/>
          </rPr>
          <t xml:space="preserve">Income from other sources:
</t>
        </r>
        <r>
          <rPr>
            <sz val="9"/>
            <color indexed="81"/>
            <rFont val="Tahoma"/>
            <family val="2"/>
          </rPr>
          <t xml:space="preserve">
</t>
        </r>
        <r>
          <rPr>
            <b/>
            <sz val="9"/>
            <color indexed="81"/>
            <rFont val="Tahoma"/>
            <family val="2"/>
          </rPr>
          <t xml:space="preserve">92. (1) </t>
        </r>
        <r>
          <rPr>
            <sz val="9"/>
            <color indexed="81"/>
            <rFont val="Tahoma"/>
            <family val="2"/>
          </rPr>
          <t>Income of every kind which is not to be excluded from the total income, shall be chargeable to income-tax under the head “Income from other sources”, if it is not chargeable to income-tax under any of the heads specified in section 13(a) to (d).</t>
        </r>
      </text>
    </comment>
    <comment ref="AV72" authorId="0" shapeId="0" xr:uid="{16908D19-374E-47C6-A39B-61C0EED37232}">
      <text>
        <r>
          <rPr>
            <b/>
            <sz val="9"/>
            <color indexed="81"/>
            <rFont val="Tahoma"/>
            <family val="2"/>
          </rPr>
          <t>122:</t>
        </r>
        <r>
          <rPr>
            <sz val="9"/>
            <color indexed="81"/>
            <rFont val="Tahoma"/>
            <family val="2"/>
          </rPr>
          <t xml:space="preserve">
</t>
        </r>
        <r>
          <rPr>
            <b/>
            <sz val="9"/>
            <color indexed="81"/>
            <rFont val="Tahoma"/>
            <family val="2"/>
          </rPr>
          <t>(10)</t>
        </r>
        <r>
          <rPr>
            <sz val="9"/>
            <color indexed="81"/>
            <rFont val="Tahoma"/>
            <family val="2"/>
          </rPr>
          <t xml:space="preserve"> In this Chapter, “</t>
        </r>
        <r>
          <rPr>
            <b/>
            <sz val="9"/>
            <color indexed="81"/>
            <rFont val="Tahoma"/>
            <family val="2"/>
          </rPr>
          <t>gross total income</t>
        </r>
        <r>
          <rPr>
            <sz val="9"/>
            <color indexed="81"/>
            <rFont val="Tahoma"/>
            <family val="2"/>
          </rPr>
          <t>” means the total income computed as per the provisions of this Act, before making deduction under this Chapter VIII.</t>
        </r>
      </text>
    </comment>
    <comment ref="AJ77" authorId="0" shapeId="0" xr:uid="{54968EC5-DCF4-4234-8054-9AB4AE3BB72C}">
      <text>
        <r>
          <rPr>
            <b/>
            <sz val="9"/>
            <color indexed="81"/>
            <rFont val="Tahoma"/>
            <family val="2"/>
          </rPr>
          <t xml:space="preserve">
123 - SCHEDULE XV -</t>
        </r>
        <r>
          <rPr>
            <sz val="9"/>
            <color indexed="81"/>
            <rFont val="Tahoma"/>
            <family val="2"/>
          </rPr>
          <t xml:space="preserve"> DEDUCTION IN RESPECT OF LIFE INSURANCE PREMIA, CONTRIBUTION TO PROVIDENT FUND, SUBSCRIPTION TO CERTAIN EQUITY SHARES, ETC</t>
        </r>
        <r>
          <rPr>
            <b/>
            <sz val="9"/>
            <color indexed="81"/>
            <rFont val="Tahoma"/>
            <family val="2"/>
          </rPr>
          <t>.</t>
        </r>
        <r>
          <rPr>
            <sz val="9"/>
            <color indexed="81"/>
            <rFont val="Tahoma"/>
            <family val="2"/>
          </rPr>
          <t xml:space="preserve">
(d) contribution by an individual to any provident fund to which the Provident Funds Act, 1925 (19 of 1925) applies;
(e) contribution to an account with any provident fund, set up and notified by the Central Government, in the name of,––
(i) in the case of an individual, such individual, spouse of the individual and any child of the individual;
(ii) in the case of a Hindu undivided family, any member thereof;
(f) contribution by an employee to a recognised provident fund;
(g) contribution by an employee to an approved superannuation fund;</t>
        </r>
      </text>
    </comment>
    <comment ref="AV77" authorId="0" shapeId="0" xr:uid="{00000000-0006-0000-0000-000005000000}">
      <text>
        <r>
          <rPr>
            <b/>
            <sz val="9"/>
            <color indexed="81"/>
            <rFont val="Tahoma"/>
            <family val="2"/>
          </rPr>
          <t>SCHEDULE XI RECOGNISED PROVIDENT FUNDS:</t>
        </r>
        <r>
          <rPr>
            <sz val="9"/>
            <color indexed="81"/>
            <rFont val="Tahoma"/>
            <family val="2"/>
          </rPr>
          <t xml:space="preserve">
7. Exemption for employee’s contributions.—An employee participating in a recognised provident fund shall, in respect of his own contributions to his individual account in the fund in the tax year, be entitled to a deduction in the computation of his total income of an amount determined as per </t>
        </r>
        <r>
          <rPr>
            <b/>
            <sz val="9"/>
            <color indexed="81"/>
            <rFont val="Tahoma"/>
            <family val="2"/>
          </rPr>
          <t>section 123</t>
        </r>
        <r>
          <rPr>
            <sz val="9"/>
            <color indexed="81"/>
            <rFont val="Tahoma"/>
            <family val="2"/>
          </rPr>
          <t>.</t>
        </r>
      </text>
    </comment>
    <comment ref="AV87" authorId="0" shapeId="0" xr:uid="{00000000-0006-0000-0000-000006000000}">
      <text>
        <r>
          <rPr>
            <b/>
            <sz val="9"/>
            <color indexed="81"/>
            <rFont val="Tahoma"/>
            <family val="2"/>
          </rPr>
          <t>Life insurance premium for policy :</t>
        </r>
        <r>
          <rPr>
            <sz val="9"/>
            <color indexed="81"/>
            <rFont val="Tahoma"/>
            <family val="2"/>
          </rPr>
          <t xml:space="preserve">
Life insurance premium for policy, in case of individual, on life of assessee, assessee's spouse and any child of assessee.
The sums referred to in sub-section (1) shall be any sums paid or deposited in the previous year by the assessee—
(i)  to effect or to keep in force an insurance on the life of persons specified in sub-section (4);
(ii)  to effect or to keep in force a contract for a deferred annuity, not being an annuity plan referred to in clause (xii), on the life of persons specified in sub-section (4):
Provided that such contract does not contain a provision for the exercise by the insured of an option to receive a cash payment in lieu of the payment of the annuity;
(iii) by way of deduction from the salary payable by or on behalf of the Government to any individual being a sum deducted in accordance with the conditions of his service, for the purpose of securing to him a deferred annuity or making provision for his spouse or children, in so far as the sum so deducted does not exceed one-fifth of the salary;
(xii) to effect or to keep in force a contract for such annuity plan of the Life Insurance Corporation or any other insurer as the Central Government may, by notification in the Official Gazette, specify;
</t>
        </r>
      </text>
    </comment>
    <comment ref="AJ89" authorId="0" shapeId="0" xr:uid="{00000000-0006-0000-0000-000007000000}">
      <text>
        <r>
          <rPr>
            <b/>
            <sz val="9"/>
            <color indexed="81"/>
            <rFont val="Tahoma"/>
            <family val="2"/>
          </rPr>
          <t xml:space="preserve">
123 - SCHEDULE XV - DEDUCTION IN RESPECT OF LIFE INSURANCE PREMIA, CONTRIBUTION TO PROVIDENT FUND, SUBSCRIPTION TO CERTAIN EQUITY SHARES, ETC.
123 (1)</t>
        </r>
        <r>
          <rPr>
            <sz val="9"/>
            <color indexed="81"/>
            <rFont val="Tahoma"/>
            <family val="2"/>
          </rPr>
          <t>. Sums qualifying as deduction.—The amounts paid or deposited in the tax year by the assessee, which qualify as deduction for the purpose of section 123 are––
(a) premium paid for a life insurance policy––
(i) in the case of an individual, on life of such individual, spouse of the individual and any child of the individual;
(ii) in the case of a Hindu undivided family, on life of any member of the Hindu undivided family,
subject to paragraph 2;</t>
        </r>
      </text>
    </comment>
    <comment ref="AJ91" authorId="0" shapeId="0" xr:uid="{00000000-0006-0000-0000-000008000000}">
      <text>
        <r>
          <rPr>
            <b/>
            <sz val="9"/>
            <color indexed="81"/>
            <rFont val="Tahoma"/>
            <family val="2"/>
          </rPr>
          <t xml:space="preserve">
123 - SCHEDULE XV - DEDUCTION IN RESPECT OF LIFE INSURANCE PREMIA, CONTRIBUTION TO PROVIDENT FUND, SUBSCRIPTION TO CERTAIN EQUITY SHARES, ETC.
</t>
        </r>
        <r>
          <rPr>
            <sz val="9"/>
            <color indexed="81"/>
            <rFont val="Tahoma"/>
            <family val="2"/>
          </rPr>
          <t xml:space="preserve">
3. Payments made for purchase or construction of residential house property.— The deduction in respect of amount spent for purchase or construction of a residential house property as provided in paragraph 1(r) shall––
(a) include payments that are made towards or by way of—
(i) any instalment or part payment of the amount due under any self-financing or other scheme of any development authority, housing board or other authority engaged in the construction and sale of house property on ownership basis; or
(ii) any instalment or part payment of the amount due to any company or co-operative society of which the assessee is a shareholder or member towards the cost of the house property allotted to him; or
(iii) repayment of the amount borrowed by the assessee from—
(A) the Central Government or any State Government; or
(B) any bank, including a co-operative bank; or
(C) the Life Insurance Corporation; or
(D) the National Housing Bank; or
(E) any public company formed and registered in India with the main object of carrying on the business of providing long-term finance for construction or purchase of houses in India for residential purposes which is eligible for deduction under section 32(e); or
(F) any company in which the public are substantially interested or any co-operative society, where such company or co-operative society is engaged in the business of financing the construction of houses; or
(G) the employer where such employer is an authority or a board or a corporation or any other body established or constituted under a Central Act or State Act; or
(H) the employer of the assessee where such employer is a public company or a public sector company or a University established by law or a college affiliated to such University or a local authority or a co-operative society; or
(iv) stamp duty, registration fee and other expenses for the purpose of transfer of such house property to the assessee;
(b) not include any payment towards or by way of—
(i) the admission fee, cost of share and initial deposit which a shareholder of a company or a member of a co-operative society has to pay for becoming such shareholder or member; or
(ii) the cost of any addition or alteration to, or renovation or repair of, the house property, which is carried out after the issue of the completion certificate in respect of the house property by the authority competent to issue it, or after the house property or any part thereof has either been occupied by the assessee or any other person on his behalf, or been let out; or.
(iii) any expenditure in respect of which deduction is allowable under section 22.</t>
        </r>
      </text>
    </comment>
    <comment ref="AJ93" authorId="0" shapeId="0" xr:uid="{00000000-0006-0000-0000-000009000000}">
      <text>
        <r>
          <rPr>
            <b/>
            <sz val="9"/>
            <color indexed="81"/>
            <rFont val="Tahoma"/>
            <family val="2"/>
          </rPr>
          <t xml:space="preserve">
123 - SCHEDULE XV - DEDUCTION IN RESPECT OF LIFE INSURANCE PREMIA, CONTRIBUTION TO PROVIDENT FUND, SUBSCRIPTION TO CERTAIN EQUITY SHARES, ETC.
</t>
        </r>
        <r>
          <rPr>
            <sz val="9"/>
            <color indexed="81"/>
            <rFont val="Tahoma"/>
            <family val="2"/>
          </rPr>
          <t xml:space="preserve">
(q) tuition fees (excluding any development fees or donation or payment of similar nature) paid by an individual to any University, college, school or other educational institution situated in India (at the time of admission or thereafter), for full time education of any two children of such individual;</t>
        </r>
      </text>
    </comment>
    <comment ref="AJ95" authorId="0" shapeId="0" xr:uid="{00000000-0006-0000-0000-00000A000000}">
      <text>
        <r>
          <rPr>
            <b/>
            <sz val="9"/>
            <color indexed="81"/>
            <rFont val="Tahoma"/>
            <family val="2"/>
          </rPr>
          <t xml:space="preserve">
123 - SCHEDULE XV - DEDUCTION IN RESPECT OF LIFE INSURANCE PREMIA, CONTRIBUTION TO PROVIDENT FUND, SUBSCRIPTION TO CERTAIN EQUITY SHARES, ETC.</t>
        </r>
        <r>
          <rPr>
            <sz val="9"/>
            <color indexed="81"/>
            <rFont val="Tahoma"/>
            <family val="2"/>
          </rPr>
          <t xml:space="preserve">
(h) subscription to any security or deposit scheme notified by the Central Government in the name of an individual or any girl child of that individual, or any girl child for whom such person is the legal guardian, if the scheme so specifies;
(i) subscription to savings certificate as mentioned in section 3(k) of the Government Savings Banks Act, 1873, (5 of 1873), as notified by the Central Government;
(i) subscription to savings certificate as mentioned in section 3(k) of the Government Savings Banks Act, 1873, (5 of 1873), as notified by the Central Government;
(j) contribution for participation in Unit-linked Insurance Plan, 1971 specified in Schedule II of the Unit Trust of India (Transfer of Undertaking and Repeal) Act, 2002 (58 of 2002),––
(i) in the case of an individual, in the name of such individual, spouse of the individual and any child of the individual;
(ii) in the case of a Hindu undivided family, in the name of any member thereof;
(k) contribution for participation in unit-linked insurance plan of Life Insurance Corporation Mutual Fund, referred to in Schedule VII (Table: Sl. No. 20 or 21), as notified by the Central Government,—
(i) in the case of an individual, in the name of such individual, spouse of the individual and any child of the individual;</t>
        </r>
      </text>
    </comment>
    <comment ref="AJ97" authorId="0" shapeId="0" xr:uid="{00000000-0006-0000-0000-00000B000000}">
      <text>
        <r>
          <rPr>
            <sz val="9"/>
            <color indexed="81"/>
            <rFont val="Tahoma"/>
            <family val="2"/>
          </rPr>
          <t xml:space="preserve">
</t>
        </r>
        <r>
          <rPr>
            <b/>
            <sz val="9"/>
            <color indexed="81"/>
            <rFont val="Tahoma"/>
            <family val="2"/>
          </rPr>
          <t>123 - SCHEDULE XV - DEDUCTION IN RESPECT OF LIFE INSURANCE PREMIA, CONTRIBUTION TO PROVIDENT FUND, SUBSCRIPTION TO CERTAIN EQUITY SHARES, ETC.</t>
        </r>
        <r>
          <rPr>
            <sz val="9"/>
            <color indexed="81"/>
            <rFont val="Tahoma"/>
            <family val="2"/>
          </rPr>
          <t xml:space="preserve">
(r) payment made for purchase or construction of a residential house property the income from which is chargeable to tax under the head “Income from house property” (or which would, if it had not been used for the own residence of the assessee, have been chargeable to tax under that head), subject to satisfaction of conditions laid down in paragraph 3;
(s) term deposit for a fixed period of not less than five years with a scheduled bank, and which is as per such scheme framed and notified by the Central Government;
(t) subscription to bonds issued by the National Bank for Agriculture and Rural Development, as notified by the Central Government;
(v) five years term deposit in an account under the Post Office Time Deposit Rules, 1981;
(w) contribution by an employee of the Central Government to an additional account referred to in section 20(3) of the Pension Fund Regulatory and Development Authority Act, 2013 (23 of 2013) of the pension scheme notified by the Central Government,––
(a) for a fixed period of not less than three years; and
(b) which is as per the scheme as notified by the Central Government for the purposes of this clause;
(x) contribution made from income chargeable to tax to effect or keep in force a contract for any annuity plan of Life Insurance Corporation of India or any other insurer for receiving pension from the fund referred to in Schedule VII (Table: Sl. No. 3);
</t>
        </r>
      </text>
    </comment>
    <comment ref="AV99" authorId="0" shapeId="0" xr:uid="{00000000-0006-0000-0000-00000E000000}">
      <text>
        <r>
          <rPr>
            <b/>
            <sz val="9"/>
            <color indexed="81"/>
            <rFont val="Tahoma"/>
            <family val="2"/>
          </rPr>
          <t xml:space="preserve">123. Deduction for life insurance premia, deferred annuity, contributions to provident fund, etc.:
</t>
        </r>
        <r>
          <rPr>
            <sz val="9"/>
            <color indexed="81"/>
            <rFont val="Tahoma"/>
            <family val="2"/>
          </rPr>
          <t xml:space="preserve"> An individual or a Hindu undivided family, shall be allowed a deduction of the whole of the amount paid or deposited in the tax year, being the aggregate of the sums enumerated in Schedule XV, but </t>
        </r>
        <r>
          <rPr>
            <b/>
            <sz val="9"/>
            <color indexed="81"/>
            <rFont val="Tahoma"/>
            <family val="2"/>
          </rPr>
          <t>not exceeding one lakh fifty thousand rupees</t>
        </r>
        <r>
          <rPr>
            <sz val="9"/>
            <color indexed="81"/>
            <rFont val="Tahoma"/>
            <family val="2"/>
          </rPr>
          <t>, while computing the total income for that year, subject to the conditions specified in that Schedule.</t>
        </r>
      </text>
    </comment>
    <comment ref="AJ101" authorId="0" shapeId="0" xr:uid="{00000000-0006-0000-0000-00000F000000}">
      <text>
        <r>
          <rPr>
            <b/>
            <sz val="9"/>
            <color indexed="81"/>
            <rFont val="Tahoma"/>
            <family val="2"/>
          </rPr>
          <t>Deduction in respect of contribution to certain pension funds.</t>
        </r>
        <r>
          <rPr>
            <sz val="9"/>
            <color indexed="81"/>
            <rFont val="Tahoma"/>
            <family val="2"/>
          </rPr>
          <t xml:space="preserve">
</t>
        </r>
        <r>
          <rPr>
            <b/>
            <sz val="9"/>
            <color indexed="81"/>
            <rFont val="Tahoma"/>
            <family val="2"/>
          </rPr>
          <t xml:space="preserve">124 (10) </t>
        </r>
        <r>
          <rPr>
            <sz val="9"/>
            <color indexed="81"/>
            <rFont val="Tahoma"/>
            <family val="2"/>
          </rPr>
          <t>Where any amount paid or deposited by the assessee has been allowed as a deduction under sub-section (3), no deduction with reference to such amount shall be allowed as deduction under section 123 for that tax year.
(y) contribution made by an individual to a pension scheme notified by the Central Government, to the extent of––
(i) 10% of salary, including dearness allowance, if the terms of employment so provide, but excluding all other allowances and perquisites, during the tax year in the case of an employee of the Central Government or any other employer; or
(ii) 20% of gross total income during the tax year in the case of any other individual;</t>
        </r>
        <r>
          <rPr>
            <b/>
            <sz val="9"/>
            <color indexed="81"/>
            <rFont val="Tahoma"/>
            <family val="2"/>
          </rPr>
          <t xml:space="preserve">
</t>
        </r>
      </text>
    </comment>
    <comment ref="AV101" authorId="0" shapeId="0" xr:uid="{00000000-0006-0000-0000-000010000000}">
      <text>
        <r>
          <rPr>
            <sz val="9"/>
            <color indexed="81"/>
            <rFont val="Tahoma"/>
            <family val="2"/>
          </rPr>
          <t xml:space="preserve">
The </t>
        </r>
        <r>
          <rPr>
            <b/>
            <sz val="9"/>
            <color indexed="81"/>
            <rFont val="Tahoma"/>
            <family val="2"/>
          </rPr>
          <t>aggregate</t>
        </r>
        <r>
          <rPr>
            <sz val="9"/>
            <color indexed="81"/>
            <rFont val="Tahoma"/>
            <family val="2"/>
          </rPr>
          <t xml:space="preserve"> amount of deductions under section </t>
        </r>
        <r>
          <rPr>
            <b/>
            <sz val="9"/>
            <color indexed="81"/>
            <rFont val="Tahoma"/>
            <family val="2"/>
          </rPr>
          <t>123, 124 (5)</t>
        </r>
        <r>
          <rPr>
            <sz val="9"/>
            <color indexed="81"/>
            <rFont val="Tahoma"/>
            <family val="2"/>
          </rPr>
          <t xml:space="preserve"> &amp; </t>
        </r>
        <r>
          <rPr>
            <b/>
            <sz val="9"/>
            <color indexed="81"/>
            <rFont val="Tahoma"/>
            <family val="2"/>
          </rPr>
          <t>124 (10)</t>
        </r>
        <r>
          <rPr>
            <sz val="9"/>
            <color indexed="81"/>
            <rFont val="Tahoma"/>
            <family val="2"/>
          </rPr>
          <t xml:space="preserve"> shall not exceed ₹</t>
        </r>
        <r>
          <rPr>
            <b/>
            <sz val="9"/>
            <color indexed="81"/>
            <rFont val="Tahoma"/>
            <family val="2"/>
          </rPr>
          <t>150000.</t>
        </r>
        <r>
          <rPr>
            <sz val="9"/>
            <color indexed="81"/>
            <rFont val="Tahoma"/>
            <family val="2"/>
          </rPr>
          <t xml:space="preserve">
</t>
        </r>
      </text>
    </comment>
    <comment ref="AJ103" authorId="0" shapeId="0" xr:uid="{4C8BAB97-32B4-4395-9E42-ED4216A7C154}">
      <text>
        <r>
          <rPr>
            <b/>
            <sz val="9"/>
            <color indexed="81"/>
            <rFont val="Tahoma"/>
            <family val="2"/>
          </rPr>
          <t>Deduction in respect of Contribution to a pension scheme notified by the Central Government.:</t>
        </r>
        <r>
          <rPr>
            <sz val="9"/>
            <color indexed="81"/>
            <rFont val="Tahoma"/>
            <family val="2"/>
          </rPr>
          <t xml:space="preserve">
</t>
        </r>
        <r>
          <rPr>
            <b/>
            <sz val="9"/>
            <color indexed="81"/>
            <rFont val="Tahoma"/>
            <family val="2"/>
          </rPr>
          <t>124 (5)</t>
        </r>
        <r>
          <rPr>
            <sz val="9"/>
            <color indexed="81"/>
            <rFont val="Tahoma"/>
            <family val="2"/>
          </rPr>
          <t xml:space="preserve"> No deduction under sub-section (3) shall be allowed in respect of the amount on which a deduction has been claimed and allowed under section 123.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V103" authorId="0" shapeId="0" xr:uid="{D8FAA840-8F1F-47F9-938B-412267A7F044}">
      <text>
        <r>
          <rPr>
            <sz val="9"/>
            <color indexed="81"/>
            <rFont val="Tahoma"/>
            <family val="2"/>
          </rPr>
          <t xml:space="preserve">
The aggregate amount of deductions under section </t>
        </r>
        <r>
          <rPr>
            <b/>
            <sz val="9"/>
            <color indexed="81"/>
            <rFont val="Tahoma"/>
            <family val="2"/>
          </rPr>
          <t>123,124 (3)</t>
        </r>
        <r>
          <rPr>
            <sz val="9"/>
            <color indexed="81"/>
            <rFont val="Tahoma"/>
            <family val="2"/>
          </rPr>
          <t xml:space="preserve"> &amp; </t>
        </r>
        <r>
          <rPr>
            <b/>
            <sz val="9"/>
            <color indexed="81"/>
            <rFont val="Tahoma"/>
            <family val="2"/>
          </rPr>
          <t>(4)</t>
        </r>
        <r>
          <rPr>
            <sz val="9"/>
            <color indexed="81"/>
            <rFont val="Tahoma"/>
            <family val="2"/>
          </rPr>
          <t xml:space="preserve"> and section </t>
        </r>
        <r>
          <rPr>
            <b/>
            <sz val="9"/>
            <color indexed="81"/>
            <rFont val="Tahoma"/>
            <family val="2"/>
          </rPr>
          <t>124 (10)</t>
        </r>
        <r>
          <rPr>
            <sz val="9"/>
            <color indexed="81"/>
            <rFont val="Tahoma"/>
            <family val="2"/>
          </rPr>
          <t xml:space="preserve"> shall not exceed </t>
        </r>
        <r>
          <rPr>
            <b/>
            <sz val="9"/>
            <color indexed="81"/>
            <rFont val="Tahoma"/>
            <family val="2"/>
          </rPr>
          <t>150000</t>
        </r>
        <r>
          <rPr>
            <sz val="9"/>
            <color indexed="81"/>
            <rFont val="Tahoma"/>
            <family val="2"/>
          </rPr>
          <t xml:space="preserve"> rupees.</t>
        </r>
      </text>
    </comment>
    <comment ref="AJ105" authorId="0" shapeId="0" xr:uid="{00000000-0006-0000-0000-000011000000}">
      <text>
        <r>
          <rPr>
            <b/>
            <sz val="9"/>
            <color indexed="81"/>
            <rFont val="Tahoma"/>
            <family val="2"/>
          </rPr>
          <t xml:space="preserve">
Deduction in respect of Contribution to a pension scheme notified by the Central Government.:</t>
        </r>
        <r>
          <rPr>
            <sz val="9"/>
            <color indexed="81"/>
            <rFont val="Tahoma"/>
            <family val="2"/>
          </rPr>
          <t xml:space="preserve">
</t>
        </r>
        <r>
          <rPr>
            <b/>
            <sz val="9"/>
            <color indexed="81"/>
            <rFont val="Tahoma"/>
            <family val="2"/>
          </rPr>
          <t>124 (3)</t>
        </r>
        <r>
          <rPr>
            <sz val="9"/>
            <color indexed="81"/>
            <rFont val="Tahoma"/>
            <family val="2"/>
          </rPr>
          <t xml:space="preserve"> An assessee referred to in sub-section (1), or any other assessee, being an individual, shall be allowed a deduction in computation of his total income of the whole of the amount paid or deposited in the tax year in his account under a pension scheme notified or as notified by the Central Government, which shall not exceed</t>
        </r>
        <r>
          <rPr>
            <b/>
            <sz val="9"/>
            <color indexed="81"/>
            <rFont val="Tahoma"/>
            <family val="2"/>
          </rPr>
          <t xml:space="preserve"> fifty thousand rupees</t>
        </r>
        <r>
          <rPr>
            <sz val="9"/>
            <color indexed="81"/>
            <rFont val="Tahoma"/>
            <family val="2"/>
          </rPr>
          <t xml:space="preserve">.
</t>
        </r>
        <r>
          <rPr>
            <b/>
            <sz val="9"/>
            <color indexed="81"/>
            <rFont val="Tahoma"/>
            <family val="2"/>
          </rPr>
          <t>124 (4)</t>
        </r>
        <r>
          <rPr>
            <sz val="9"/>
            <color indexed="81"/>
            <rFont val="Tahoma"/>
            <family val="2"/>
          </rPr>
          <t xml:space="preserve"> The deduction under sub-section (3) shall also be allowed where any payment or deposit is made to the account of a minor under the said pension scheme, by the assessee, being the guardian of such minor, subject to the condition that the aggregate amount of deduction under sub-section (3) and this sub-section shall not exceed</t>
        </r>
        <r>
          <rPr>
            <b/>
            <sz val="9"/>
            <color indexed="81"/>
            <rFont val="Tahoma"/>
            <family val="2"/>
          </rPr>
          <t xml:space="preserve"> fifty thousand rupees</t>
        </r>
        <r>
          <rPr>
            <sz val="9"/>
            <color indexed="81"/>
            <rFont val="Tahoma"/>
            <family val="2"/>
          </rPr>
          <t xml:space="preserve">.
</t>
        </r>
        <r>
          <rPr>
            <b/>
            <sz val="9"/>
            <color indexed="81"/>
            <rFont val="Tahoma"/>
            <family val="2"/>
          </rPr>
          <t>124 (11)</t>
        </r>
        <r>
          <rPr>
            <sz val="9"/>
            <color indexed="81"/>
            <rFont val="Tahoma"/>
            <family val="2"/>
          </rPr>
          <t xml:space="preserve"> For the purposes of this section, “salary” includes dearness allowance, if the terms of employment so provide, but excludes all other allowances and perquisites.</t>
        </r>
      </text>
    </comment>
    <comment ref="AJ107" authorId="0" shapeId="0" xr:uid="{FE529993-B2AE-4019-80A5-B461C14AF171}">
      <text>
        <r>
          <rPr>
            <b/>
            <sz val="9"/>
            <color indexed="81"/>
            <rFont val="Tahoma"/>
            <family val="2"/>
          </rPr>
          <t xml:space="preserve">Deduction in respect of employer's contribution to a pension scheme notified by the Central Government:
</t>
        </r>
        <r>
          <rPr>
            <sz val="9"/>
            <color indexed="81"/>
            <rFont val="Tahoma"/>
            <family val="2"/>
          </rPr>
          <t xml:space="preserve">
</t>
        </r>
        <r>
          <rPr>
            <b/>
            <sz val="9"/>
            <color indexed="81"/>
            <rFont val="Tahoma"/>
            <family val="2"/>
          </rPr>
          <t>124. (1)</t>
        </r>
        <r>
          <rPr>
            <sz val="9"/>
            <color indexed="81"/>
            <rFont val="Tahoma"/>
            <family val="2"/>
          </rPr>
          <t xml:space="preserve"> Where in the case of an assessee, being an individual employed by any employer, if an employer makes any contribution in his account under a pension scheme notified by the Central Government, the assessee shall be allowed a deduction in the computation of his total income, of the whole of the amount contributed by such employer as does not exceed—
(a) </t>
        </r>
        <r>
          <rPr>
            <b/>
            <sz val="9"/>
            <color indexed="81"/>
            <rFont val="Tahoma"/>
            <family val="2"/>
          </rPr>
          <t>14%</t>
        </r>
        <r>
          <rPr>
            <sz val="9"/>
            <color indexed="81"/>
            <rFont val="Tahoma"/>
            <family val="2"/>
          </rPr>
          <t xml:space="preserve">, where such contribution is made by the employer being the Central Government or the State Government; and
(b) </t>
        </r>
        <r>
          <rPr>
            <b/>
            <sz val="9"/>
            <color indexed="81"/>
            <rFont val="Tahoma"/>
            <family val="2"/>
          </rPr>
          <t>10%</t>
        </r>
        <r>
          <rPr>
            <sz val="9"/>
            <color indexed="81"/>
            <rFont val="Tahoma"/>
            <family val="2"/>
          </rPr>
          <t xml:space="preserve">, where such contribution is made by an employer other than an employer referred to in clause (a),
of his salary in the tax year.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J113" authorId="0" shapeId="0" xr:uid="{00000000-0006-0000-0000-000012000000}">
      <text>
        <r>
          <rPr>
            <b/>
            <sz val="9"/>
            <color indexed="81"/>
            <rFont val="Tahoma"/>
            <family val="2"/>
          </rPr>
          <t>Deduction in respect of health insurance premia:</t>
        </r>
        <r>
          <rPr>
            <sz val="9"/>
            <color indexed="81"/>
            <rFont val="Tahoma"/>
            <family val="2"/>
          </rPr>
          <t xml:space="preserve">
</t>
        </r>
        <r>
          <rPr>
            <b/>
            <sz val="9"/>
            <color indexed="81"/>
            <rFont val="Tahoma"/>
            <family val="2"/>
          </rPr>
          <t xml:space="preserve">126. </t>
        </r>
        <r>
          <rPr>
            <sz val="9"/>
            <color indexed="81"/>
            <rFont val="Tahoma"/>
            <family val="2"/>
          </rPr>
          <t>(</t>
        </r>
        <r>
          <rPr>
            <b/>
            <sz val="9"/>
            <color indexed="81"/>
            <rFont val="Tahoma"/>
            <family val="2"/>
          </rPr>
          <t>1</t>
        </r>
        <r>
          <rPr>
            <sz val="9"/>
            <color indexed="81"/>
            <rFont val="Tahoma"/>
            <family val="2"/>
          </rPr>
          <t xml:space="preserve">)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(a) to effect or keep in force an insurance on the health (herein referred to as </t>
        </r>
        <r>
          <rPr>
            <b/>
            <sz val="9"/>
            <color indexed="81"/>
            <rFont val="Tahoma"/>
            <family val="2"/>
          </rPr>
          <t>health insurance</t>
        </r>
        <r>
          <rPr>
            <sz val="9"/>
            <color indexed="81"/>
            <rFont val="Tahoma"/>
            <family val="2"/>
          </rPr>
          <t xml:space="preserve">) of the </t>
        </r>
        <r>
          <rPr>
            <b/>
            <sz val="9"/>
            <color indexed="81"/>
            <rFont val="Tahoma"/>
            <family val="2"/>
          </rPr>
          <t>assessee or his family</t>
        </r>
        <r>
          <rPr>
            <sz val="9"/>
            <color indexed="81"/>
            <rFont val="Tahoma"/>
            <family val="2"/>
          </rPr>
          <t xml:space="preserve">, or any contributions made to the Central Government Health Scheme or such other scheme, as notified by the Central Government in this behalf, or any payment made for </t>
        </r>
        <r>
          <rPr>
            <b/>
            <sz val="9"/>
            <color indexed="81"/>
            <rFont val="Tahoma"/>
            <family val="2"/>
          </rPr>
          <t>preventive health check-up</t>
        </r>
        <r>
          <rPr>
            <sz val="9"/>
            <color indexed="81"/>
            <rFont val="Tahoma"/>
            <family val="2"/>
          </rPr>
          <t xml:space="preserve"> of the assessee or his family, up to </t>
        </r>
        <r>
          <rPr>
            <b/>
            <sz val="9"/>
            <color indexed="81"/>
            <rFont val="Tahoma"/>
            <family val="2"/>
          </rPr>
          <t>twenty-five thousand rupees</t>
        </r>
        <r>
          <rPr>
            <sz val="9"/>
            <color indexed="81"/>
            <rFont val="Tahoma"/>
            <family val="2"/>
          </rPr>
          <t xml:space="preserve"> in aggregate;
(c) on account of medical expenditure incurred on the health of the assessee or any member of his family, up to fifty thousand rupees in aggregate; and
(3) The deduction in respect of amounts referred to in sub-section (2)(a) or (2)(b), which are paid on account of preventive health check-up, shall be allowed up to five thousand rupees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
(b) </t>
        </r>
        <r>
          <rPr>
            <b/>
            <sz val="9"/>
            <color indexed="81"/>
            <rFont val="Tahoma"/>
            <family val="2"/>
          </rPr>
          <t>“family”</t>
        </r>
        <r>
          <rPr>
            <sz val="9"/>
            <color indexed="81"/>
            <rFont val="Tahoma"/>
            <family val="2"/>
          </rPr>
          <t xml:space="preserve"> includes the </t>
        </r>
        <r>
          <rPr>
            <b/>
            <sz val="9"/>
            <color indexed="81"/>
            <rFont val="Tahoma"/>
            <family val="2"/>
          </rPr>
          <t>spouse and dependant children</t>
        </r>
        <r>
          <rPr>
            <sz val="9"/>
            <color indexed="81"/>
            <rFont val="Tahoma"/>
            <family val="2"/>
          </rPr>
          <t xml:space="preserve"> of the assesse; and
(11) The health insurance referred to in this section shall be as per the scheme made in this behalf by—
(a) the General Insurance Corporation of India formed under section 9 of the General Insurance Business (Nationalisation) Act, 1972 and approved by the Central Government in this behalf; or
(b) any other insurer and approved by the Insurance Regulatory and Development Authority established under section 3(1) of the Insurance Regulatory and Development Authority Act, 1999.</t>
        </r>
      </text>
    </comment>
    <comment ref="AJ115" authorId="0" shapeId="0" xr:uid="{00000000-0006-0000-0000-000013000000}">
      <text>
        <r>
          <rPr>
            <b/>
            <sz val="9"/>
            <color indexed="81"/>
            <rFont val="Tahoma"/>
            <family val="2"/>
          </rPr>
          <t>Deduction in respect of health insurance premia:</t>
        </r>
        <r>
          <rPr>
            <sz val="9"/>
            <color indexed="81"/>
            <rFont val="Tahoma"/>
            <family val="2"/>
          </rPr>
          <t xml:space="preserve">
</t>
        </r>
        <r>
          <rPr>
            <b/>
            <sz val="9"/>
            <color indexed="81"/>
            <rFont val="Tahoma"/>
            <family val="2"/>
          </rPr>
          <t xml:space="preserve">126. </t>
        </r>
        <r>
          <rPr>
            <sz val="9"/>
            <color indexed="81"/>
            <rFont val="Tahoma"/>
            <family val="2"/>
          </rPr>
          <t>(1)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(a) to effect or keep in force an insurance on the health (herein referred to as health insurance) of the assessee or his family, or any contributions made to the Central Government Health Scheme or such other scheme, as notified by the Central Government in this behalf, or any payment made for</t>
        </r>
        <r>
          <rPr>
            <b/>
            <sz val="9"/>
            <color indexed="81"/>
            <rFont val="Tahoma"/>
            <family val="2"/>
          </rPr>
          <t xml:space="preserve"> preventive health check-up</t>
        </r>
        <r>
          <rPr>
            <sz val="9"/>
            <color indexed="81"/>
            <rFont val="Tahoma"/>
            <family val="2"/>
          </rPr>
          <t xml:space="preserve"> of the </t>
        </r>
        <r>
          <rPr>
            <b/>
            <sz val="9"/>
            <color indexed="81"/>
            <rFont val="Tahoma"/>
            <family val="2"/>
          </rPr>
          <t>assessee or his family</t>
        </r>
        <r>
          <rPr>
            <sz val="9"/>
            <color indexed="81"/>
            <rFont val="Tahoma"/>
            <family val="2"/>
          </rPr>
          <t xml:space="preserve">, up to twenty-five thousand rupees in aggregate;
(c) on account of medical expenditure incurred on the health of the assessee or any member of his family, up to fifty thousand rupees in aggregate; and
(3) The deduction in respect of amounts referred to in sub-section (2)(a) or (2)(b), which are paid on account of </t>
        </r>
        <r>
          <rPr>
            <b/>
            <sz val="9"/>
            <color indexed="81"/>
            <rFont val="Tahoma"/>
            <family val="2"/>
          </rPr>
          <t>preventive health check</t>
        </r>
        <r>
          <rPr>
            <sz val="9"/>
            <color indexed="81"/>
            <rFont val="Tahoma"/>
            <family val="2"/>
          </rPr>
          <t xml:space="preserve">-up, shall be allowed up to </t>
        </r>
        <r>
          <rPr>
            <b/>
            <sz val="9"/>
            <color indexed="81"/>
            <rFont val="Tahoma"/>
            <family val="2"/>
          </rPr>
          <t>five thousand rupees</t>
        </r>
        <r>
          <rPr>
            <sz val="9"/>
            <color indexed="81"/>
            <rFont val="Tahoma"/>
            <family val="2"/>
          </rPr>
          <t xml:space="preserve">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t>
        </r>
        <r>
          <rPr>
            <b/>
            <sz val="9"/>
            <color indexed="81"/>
            <rFont val="Tahoma"/>
            <family val="2"/>
          </rPr>
          <t>cash,</t>
        </r>
        <r>
          <rPr>
            <sz val="9"/>
            <color indexed="81"/>
            <rFont val="Tahoma"/>
            <family val="2"/>
          </rPr>
          <t xml:space="preserve"> in respect of any sum paid on account of </t>
        </r>
        <r>
          <rPr>
            <b/>
            <sz val="9"/>
            <color indexed="81"/>
            <rFont val="Tahoma"/>
            <family val="2"/>
          </rPr>
          <t>preventive health</t>
        </r>
        <r>
          <rPr>
            <sz val="9"/>
            <color indexed="81"/>
            <rFont val="Tahoma"/>
            <family val="2"/>
          </rPr>
          <t xml:space="preserve"> </t>
        </r>
        <r>
          <rPr>
            <b/>
            <sz val="9"/>
            <color indexed="81"/>
            <rFont val="Tahoma"/>
            <family val="2"/>
          </rPr>
          <t>check-up</t>
        </r>
        <r>
          <rPr>
            <sz val="9"/>
            <color indexed="81"/>
            <rFont val="Tahoma"/>
            <family val="2"/>
          </rPr>
          <t xml:space="preserve">; or
(b) other than cash in all other cases not falling under clause (a).
(b) </t>
        </r>
        <r>
          <rPr>
            <b/>
            <sz val="9"/>
            <color indexed="81"/>
            <rFont val="Tahoma"/>
            <family val="2"/>
          </rPr>
          <t>“family”</t>
        </r>
        <r>
          <rPr>
            <sz val="9"/>
            <color indexed="81"/>
            <rFont val="Tahoma"/>
            <family val="2"/>
          </rPr>
          <t xml:space="preserve"> includes the </t>
        </r>
        <r>
          <rPr>
            <b/>
            <sz val="9"/>
            <color indexed="81"/>
            <rFont val="Tahoma"/>
            <family val="2"/>
          </rPr>
          <t>spouse and dependant children</t>
        </r>
        <r>
          <rPr>
            <sz val="9"/>
            <color indexed="81"/>
            <rFont val="Tahoma"/>
            <family val="2"/>
          </rPr>
          <t xml:space="preserve"> of the assesse; and
(11) The health insurance referred to in this section shall be as per the scheme made in this behalf by—
(a) the General Insurance Corporation of India formed under section 9 of the General Insurance Business (Nationalisation) Act, 1972 and approved by the Central Government in this behalf; or
(b) any other insurer and approved by the Insurance Regulatory and Development Authority established under section 3(1) of the Insurance Regulatory and Development Authority Act, 1999.</t>
        </r>
      </text>
    </comment>
    <comment ref="AJ121" authorId="0" shapeId="0" xr:uid="{00000000-0006-0000-0000-000014000000}">
      <text>
        <r>
          <rPr>
            <b/>
            <sz val="9"/>
            <color indexed="81"/>
            <rFont val="Tahoma"/>
            <family val="2"/>
          </rPr>
          <t>Deduction in respect of health insurance premia:</t>
        </r>
        <r>
          <rPr>
            <sz val="9"/>
            <color indexed="81"/>
            <rFont val="Tahoma"/>
            <family val="2"/>
          </rPr>
          <t xml:space="preserve">
</t>
        </r>
        <r>
          <rPr>
            <b/>
            <sz val="9"/>
            <color indexed="81"/>
            <rFont val="Tahoma"/>
            <family val="2"/>
          </rPr>
          <t>126</t>
        </r>
        <r>
          <rPr>
            <sz val="9"/>
            <color indexed="81"/>
            <rFont val="Tahoma"/>
            <family val="2"/>
          </rPr>
          <t xml:space="preserve">. (1)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(b) to effect or to keep in force the </t>
        </r>
        <r>
          <rPr>
            <b/>
            <sz val="9"/>
            <color indexed="81"/>
            <rFont val="Tahoma"/>
            <family val="2"/>
          </rPr>
          <t>health insurance</t>
        </r>
        <r>
          <rPr>
            <sz val="9"/>
            <color indexed="81"/>
            <rFont val="Tahoma"/>
            <family val="2"/>
          </rPr>
          <t xml:space="preserve">, or any payment made for </t>
        </r>
        <r>
          <rPr>
            <b/>
            <sz val="9"/>
            <color indexed="81"/>
            <rFont val="Tahoma"/>
            <family val="2"/>
          </rPr>
          <t>preventive health check-up</t>
        </r>
        <r>
          <rPr>
            <sz val="9"/>
            <color indexed="81"/>
            <rFont val="Tahoma"/>
            <family val="2"/>
          </rPr>
          <t xml:space="preserve">, for the </t>
        </r>
        <r>
          <rPr>
            <b/>
            <sz val="9"/>
            <color indexed="81"/>
            <rFont val="Tahoma"/>
            <family val="2"/>
          </rPr>
          <t>parent or parents</t>
        </r>
        <r>
          <rPr>
            <sz val="9"/>
            <color indexed="81"/>
            <rFont val="Tahoma"/>
            <family val="2"/>
          </rPr>
          <t xml:space="preserve"> of the assessee, up to </t>
        </r>
        <r>
          <rPr>
            <b/>
            <sz val="9"/>
            <color indexed="81"/>
            <rFont val="Tahoma"/>
            <family val="2"/>
          </rPr>
          <t>twenty-five thousand rupees</t>
        </r>
        <r>
          <rPr>
            <sz val="9"/>
            <color indexed="81"/>
            <rFont val="Tahoma"/>
            <family val="2"/>
          </rPr>
          <t xml:space="preserve"> in aggregate;
(d) on account of</t>
        </r>
        <r>
          <rPr>
            <b/>
            <sz val="9"/>
            <color indexed="81"/>
            <rFont val="Tahoma"/>
            <family val="2"/>
          </rPr>
          <t xml:space="preserve"> medical expenditure</t>
        </r>
        <r>
          <rPr>
            <sz val="9"/>
            <color indexed="81"/>
            <rFont val="Tahoma"/>
            <family val="2"/>
          </rPr>
          <t xml:space="preserve"> incurred on the health of </t>
        </r>
        <r>
          <rPr>
            <b/>
            <sz val="9"/>
            <color indexed="81"/>
            <rFont val="Tahoma"/>
            <family val="2"/>
          </rPr>
          <t>any</t>
        </r>
        <r>
          <rPr>
            <sz val="9"/>
            <color indexed="81"/>
            <rFont val="Tahoma"/>
            <family val="2"/>
          </rPr>
          <t xml:space="preserve"> </t>
        </r>
        <r>
          <rPr>
            <b/>
            <sz val="9"/>
            <color indexed="81"/>
            <rFont val="Tahoma"/>
            <family val="2"/>
          </rPr>
          <t>parent</t>
        </r>
        <r>
          <rPr>
            <sz val="9"/>
            <color indexed="81"/>
            <rFont val="Tahoma"/>
            <family val="2"/>
          </rPr>
          <t xml:space="preserve"> of the assessee, up to </t>
        </r>
        <r>
          <rPr>
            <b/>
            <sz val="9"/>
            <color indexed="81"/>
            <rFont val="Tahoma"/>
            <family val="2"/>
          </rPr>
          <t>fifty thousand rupees</t>
        </r>
        <r>
          <rPr>
            <sz val="9"/>
            <color indexed="81"/>
            <rFont val="Tahoma"/>
            <family val="2"/>
          </rPr>
          <t xml:space="preserve"> in aggregate.
(4) The amount of sum referred to in sub-section (2) shall not exceed </t>
        </r>
        <r>
          <rPr>
            <b/>
            <sz val="9"/>
            <color indexed="81"/>
            <rFont val="Tahoma"/>
            <family val="2"/>
          </rPr>
          <t>fifty thousand rupees</t>
        </r>
        <r>
          <rPr>
            <sz val="9"/>
            <color indexed="81"/>
            <rFont val="Tahoma"/>
            <family val="2"/>
          </rPr>
          <t xml:space="preserve"> in aggregate of the sum specified under sub-sections 2(a) and 2(c) or aggregate of the sum specified under sub-sections </t>
        </r>
        <r>
          <rPr>
            <b/>
            <sz val="9"/>
            <color indexed="81"/>
            <rFont val="Tahoma"/>
            <family val="2"/>
          </rPr>
          <t>2(b)</t>
        </r>
        <r>
          <rPr>
            <sz val="9"/>
            <color indexed="81"/>
            <rFont val="Tahoma"/>
            <family val="2"/>
          </rPr>
          <t xml:space="preserve"> and </t>
        </r>
        <r>
          <rPr>
            <b/>
            <sz val="9"/>
            <color indexed="81"/>
            <rFont val="Tahoma"/>
            <family val="2"/>
          </rPr>
          <t>2(d)</t>
        </r>
        <r>
          <rPr>
            <sz val="9"/>
            <color indexed="81"/>
            <rFont val="Tahoma"/>
            <family val="2"/>
          </rPr>
          <t>.
(7) For the purposes of this section, where the amount is paid on account of medical expenditure incurred on the health of senior citizen under sub-section (2)(c) or (d) or (5)(b), deduction shall be allowed, if no amount has been paid to effect or to keep in force the health insurance of such person.
(8) Where the sum specified in sub-section (2)(a) or (b) or (5)(a) is paid to effect or keep in force the health insurance of any person specified therein, and—
(a) such person is a</t>
        </r>
        <r>
          <rPr>
            <b/>
            <sz val="9"/>
            <color indexed="81"/>
            <rFont val="Tahoma"/>
            <family val="2"/>
          </rPr>
          <t xml:space="preserve"> senior citizen</t>
        </r>
        <r>
          <rPr>
            <sz val="9"/>
            <color indexed="81"/>
            <rFont val="Tahoma"/>
            <family val="2"/>
          </rPr>
          <t xml:space="preserve">, the amount of sum as provided in such clauses, shall be substituted with </t>
        </r>
        <r>
          <rPr>
            <b/>
            <sz val="9"/>
            <color indexed="81"/>
            <rFont val="Tahoma"/>
            <family val="2"/>
          </rPr>
          <t>fifty thousand rupees</t>
        </r>
        <r>
          <rPr>
            <sz val="9"/>
            <color indexed="81"/>
            <rFont val="Tahoma"/>
            <family val="2"/>
          </rPr>
          <t xml:space="preserve"> for twenty-five thousand rupees; and
(b) such sum is paid in lump sum in the tax year for more than a year, a deduction shall be allowed for each of the relevant tax year equal to the appropriate fraction of such amount.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t>
        </r>
      </text>
    </comment>
    <comment ref="AJ123" authorId="0" shapeId="0" xr:uid="{00000000-0006-0000-0000-000015000000}">
      <text>
        <r>
          <rPr>
            <b/>
            <sz val="9"/>
            <color indexed="81"/>
            <rFont val="Tahoma"/>
            <family val="2"/>
          </rPr>
          <t>Deduction in respect of health insurance premia:
126.</t>
        </r>
        <r>
          <rPr>
            <sz val="9"/>
            <color indexed="81"/>
            <rFont val="Tahoma"/>
            <family val="2"/>
          </rPr>
          <t xml:space="preserve"> (1)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(b) to effect or to keep in force the health insurance, or any payment made for </t>
        </r>
        <r>
          <rPr>
            <b/>
            <sz val="9"/>
            <color indexed="81"/>
            <rFont val="Tahoma"/>
            <family val="2"/>
          </rPr>
          <t>preventive health check-up</t>
        </r>
        <r>
          <rPr>
            <sz val="9"/>
            <color indexed="81"/>
            <rFont val="Tahoma"/>
            <family val="2"/>
          </rPr>
          <t xml:space="preserve">, for the parent or parents of the assessee, up to twenty-five thousand rupees in aggregate;
(d) on account of medical expenditure incurred on the health of any parent of the assessee, up to fifty thousand rupees in aggregate.
(3) The deduction in respect of amounts referred to in sub-section (2)(a) or (2)(b), which are paid on account of </t>
        </r>
        <r>
          <rPr>
            <b/>
            <sz val="9"/>
            <color indexed="81"/>
            <rFont val="Tahoma"/>
            <family val="2"/>
          </rPr>
          <t>preventive health check-up</t>
        </r>
        <r>
          <rPr>
            <sz val="9"/>
            <color indexed="81"/>
            <rFont val="Tahoma"/>
            <family val="2"/>
          </rPr>
          <t xml:space="preserve">, shall be allowed up to </t>
        </r>
        <r>
          <rPr>
            <b/>
            <sz val="9"/>
            <color indexed="81"/>
            <rFont val="Tahoma"/>
            <family val="2"/>
          </rPr>
          <t>five thousand rupees</t>
        </r>
        <r>
          <rPr>
            <sz val="9"/>
            <color indexed="81"/>
            <rFont val="Tahoma"/>
            <family val="2"/>
          </rPr>
          <t xml:space="preserve">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t>
        </r>
        <r>
          <rPr>
            <b/>
            <sz val="9"/>
            <color indexed="81"/>
            <rFont val="Tahoma"/>
            <family val="2"/>
          </rPr>
          <t>cash,</t>
        </r>
        <r>
          <rPr>
            <sz val="9"/>
            <color indexed="81"/>
            <rFont val="Tahoma"/>
            <family val="2"/>
          </rPr>
          <t xml:space="preserve"> in respect of any sum paid on account of </t>
        </r>
        <r>
          <rPr>
            <b/>
            <sz val="9"/>
            <color indexed="81"/>
            <rFont val="Tahoma"/>
            <family val="2"/>
          </rPr>
          <t>preventive health check-up</t>
        </r>
        <r>
          <rPr>
            <sz val="9"/>
            <color indexed="81"/>
            <rFont val="Tahoma"/>
            <family val="2"/>
          </rPr>
          <t>; or
(b) other than cash in all other cases not falling under clause (a).</t>
        </r>
      </text>
    </comment>
    <comment ref="AJ125" authorId="0" shapeId="0" xr:uid="{00000000-0006-0000-0000-000016000000}">
      <text>
        <r>
          <rPr>
            <b/>
            <sz val="9"/>
            <color indexed="81"/>
            <rFont val="Tahoma"/>
            <family val="2"/>
          </rPr>
          <t>Deduction in respect of health insurance premia :</t>
        </r>
        <r>
          <rPr>
            <sz val="9"/>
            <color indexed="81"/>
            <rFont val="Tahoma"/>
            <family val="2"/>
          </rPr>
          <t xml:space="preserve">
</t>
        </r>
        <r>
          <rPr>
            <b/>
            <sz val="9"/>
            <color indexed="81"/>
            <rFont val="Tahoma"/>
            <family val="2"/>
          </rPr>
          <t xml:space="preserve">126. </t>
        </r>
        <r>
          <rPr>
            <sz val="9"/>
            <color indexed="81"/>
            <rFont val="Tahoma"/>
            <family val="2"/>
          </rPr>
          <t xml:space="preserve">(1)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(d) on account of medical expenditure incurred on the health of any parent of the assessee, up to fifty thousand rupees in aggregate.
(4) The amount of sum referred to in sub-section (2) shall not exceed </t>
        </r>
        <r>
          <rPr>
            <b/>
            <sz val="9"/>
            <color indexed="81"/>
            <rFont val="Tahoma"/>
            <family val="2"/>
          </rPr>
          <t>fifty thousand</t>
        </r>
        <r>
          <rPr>
            <sz val="9"/>
            <color indexed="81"/>
            <rFont val="Tahoma"/>
            <family val="2"/>
          </rPr>
          <t xml:space="preserve"> rupees in aggregate of the sum specified under sub-sections 2(a) and 2(c) or aggregate of the sum specified under sub-sections 2(b) and 2(d).
(7) For the purposes of this section, where the amount is paid on account of </t>
        </r>
        <r>
          <rPr>
            <b/>
            <sz val="9"/>
            <color indexed="81"/>
            <rFont val="Tahoma"/>
            <family val="2"/>
          </rPr>
          <t>medical expenditure</t>
        </r>
        <r>
          <rPr>
            <sz val="9"/>
            <color indexed="81"/>
            <rFont val="Tahoma"/>
            <family val="2"/>
          </rPr>
          <t xml:space="preserve"> incurred on the health of senior citizen under sub-section (2)(c) or (d) or (5)(b), deduction shall be allowed, if</t>
        </r>
        <r>
          <rPr>
            <b/>
            <sz val="9"/>
            <color indexed="81"/>
            <rFont val="Tahoma"/>
            <family val="2"/>
          </rPr>
          <t xml:space="preserve"> no amount has been paid</t>
        </r>
        <r>
          <rPr>
            <sz val="9"/>
            <color indexed="81"/>
            <rFont val="Tahoma"/>
            <family val="2"/>
          </rPr>
          <t xml:space="preserve"> to effect or to keep in force the </t>
        </r>
        <r>
          <rPr>
            <b/>
            <sz val="9"/>
            <color indexed="81"/>
            <rFont val="Tahoma"/>
            <family val="2"/>
          </rPr>
          <t>health insurance</t>
        </r>
        <r>
          <rPr>
            <sz val="9"/>
            <color indexed="81"/>
            <rFont val="Tahoma"/>
            <family val="2"/>
          </rPr>
          <t xml:space="preserve"> of such person.
(8) Where the sum specified in sub-section (2)(a) or (b) or (5)(a) is paid to effect or keep in force the health insurance of any person specified therein, and—
(a) such person is a </t>
        </r>
        <r>
          <rPr>
            <b/>
            <sz val="9"/>
            <color indexed="81"/>
            <rFont val="Tahoma"/>
            <family val="2"/>
          </rPr>
          <t>senior citizen</t>
        </r>
        <r>
          <rPr>
            <sz val="9"/>
            <color indexed="81"/>
            <rFont val="Tahoma"/>
            <family val="2"/>
          </rPr>
          <t xml:space="preserve">, the amount of sum as provided in such clauses, shall be substituted with fifty thousand rupees for twenty-five thousand rupees; and
(b) such sum is paid in lump sum in the tax year for more than a year, a deduction shall be allowed for each of the relevant tax year equal to the appropriate fraction of such amount.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t>
        </r>
      </text>
    </comment>
    <comment ref="AJ129" authorId="0" shapeId="0" xr:uid="{00000000-0006-0000-0000-000017000000}">
      <text>
        <r>
          <rPr>
            <b/>
            <sz val="9"/>
            <color indexed="81"/>
            <rFont val="Tahoma"/>
            <family val="2"/>
          </rPr>
          <t>Deduction in respect of maintenance including medical treatment of a dependant who is a person with disability :</t>
        </r>
        <r>
          <rPr>
            <sz val="9"/>
            <color indexed="81"/>
            <rFont val="Tahoma"/>
            <family val="2"/>
          </rPr>
          <t xml:space="preserve">
</t>
        </r>
        <r>
          <rPr>
            <b/>
            <sz val="9"/>
            <color indexed="81"/>
            <rFont val="Tahoma"/>
            <family val="2"/>
          </rPr>
          <t>127.</t>
        </r>
        <r>
          <rPr>
            <sz val="9"/>
            <color indexed="81"/>
            <rFont val="Tahoma"/>
            <family val="2"/>
          </rPr>
          <t xml:space="preserve"> (1) An assessee being an individual or a Hindu undivided family, who is a resident in India, shall be allowed a deduction up to </t>
        </r>
        <r>
          <rPr>
            <b/>
            <sz val="9"/>
            <color indexed="81"/>
            <rFont val="Tahoma"/>
            <family val="2"/>
          </rPr>
          <t>seventy-five thousand</t>
        </r>
        <r>
          <rPr>
            <sz val="9"/>
            <color indexed="81"/>
            <rFont val="Tahoma"/>
            <family val="2"/>
          </rPr>
          <t xml:space="preserve"> rupees from his gross total income of a tax year, subject to the provisions of this section, if during that year he has––
(a) </t>
        </r>
        <r>
          <rPr>
            <b/>
            <sz val="9"/>
            <color indexed="81"/>
            <rFont val="Tahoma"/>
            <family val="2"/>
          </rPr>
          <t xml:space="preserve">incurred expenditure for the medical treatment </t>
        </r>
        <r>
          <rPr>
            <sz val="9"/>
            <color indexed="81"/>
            <rFont val="Tahoma"/>
            <family val="2"/>
          </rPr>
          <t xml:space="preserve">(including nursing), training, or rehabilitation of a dependant, being </t>
        </r>
        <r>
          <rPr>
            <b/>
            <sz val="9"/>
            <color indexed="81"/>
            <rFont val="Tahoma"/>
            <family val="2"/>
          </rPr>
          <t>a person with disability</t>
        </r>
        <r>
          <rPr>
            <sz val="9"/>
            <color indexed="81"/>
            <rFont val="Tahoma"/>
            <family val="2"/>
          </rPr>
          <t xml:space="preserve">; or
(b) </t>
        </r>
        <r>
          <rPr>
            <b/>
            <sz val="9"/>
            <color indexed="81"/>
            <rFont val="Tahoma"/>
            <family val="2"/>
          </rPr>
          <t>paid or deposited any amount</t>
        </r>
        <r>
          <rPr>
            <sz val="9"/>
            <color indexed="81"/>
            <rFont val="Tahoma"/>
            <family val="2"/>
          </rPr>
          <t>, under a scheme framed by the Life Insurance Corporation or any other insurer or the Administrator, or the specified company, for the maintenance of a dependant, being a person with disability, subject to the conditions specified in sub-section (2) and approved by the Board in this behalf.
(2) The deduction under sub-section (1)(b) shall be allowed only if the following conditions are fulfilled:––
(a) the scheme referred to in sub-section (1)(b) provides for payment of an annuity or lump sum amount for the benefit of a dependant, being a person with disability––
(i) on the death of the individual or the member of the Hindu undivided family, in whose name the scheme was subscribed; or
(ii) on attaining the age of sixty years or more by such individual or the member of the Hindu undivided family, and the payment or deposit to such scheme has been discontinued;
(b) the assessee nominates the dependant, being a person with disability or another person or a trust to receive the payments on behalf and for the benefit of such dependant.
(3) If the dependant as referred to in sub-section (1) is</t>
        </r>
        <r>
          <rPr>
            <b/>
            <sz val="9"/>
            <color indexed="81"/>
            <rFont val="Tahoma"/>
            <family val="2"/>
          </rPr>
          <t xml:space="preserve"> a person with severe disability</t>
        </r>
        <r>
          <rPr>
            <sz val="9"/>
            <color indexed="81"/>
            <rFont val="Tahoma"/>
            <family val="2"/>
          </rPr>
          <t xml:space="preserve">, the amount of deduction as referred to in sub-section (1) shall be substituted with </t>
        </r>
        <r>
          <rPr>
            <b/>
            <sz val="9"/>
            <color indexed="81"/>
            <rFont val="Tahoma"/>
            <family val="2"/>
          </rPr>
          <t>one lakh and twenty-five thousand rupees</t>
        </r>
        <r>
          <rPr>
            <sz val="9"/>
            <color indexed="81"/>
            <rFont val="Tahoma"/>
            <family val="2"/>
          </rPr>
          <t xml:space="preserve"> for seventy-five thousand rupees.
(4) In the event of death of the dependant, being a person with disability before the individual or member of the Hindu undivided family mentioned in sub-section (2), the amount paid or deposited under sub-section (1)(b) shall be deemed to be the income of the assessee of the tax year in which it is received and shall accordingly be chargeable to tax.
(5) The provisions of sub-section (4) shall not apply to the amount received by the dependant, being a person with disability, before his death, as an annuity or lump sum, by application of the condition referred to in sub-section (2)(a)(ii).
(6) The assessee claiming deduction under this section, shall furnish a copy of the medical certificate issued by the medical authority in such form and manner as prescribed, along with the return of income under section 263 for the tax year in which the deduction is claimed.
(7) If the certificate referred to in sub-section (6), specifies that the condition of disability requires reassessment of its extent after a period stipulated in it, the deduction under this section shall not be allowed for any tax year succeeding the tax year in which the said certificate expires, unless a new certificate is obtained from the medical authority in such form and manner, as prescribed, and a copy thereof is submitted along with the return of income under section 263.
(8) The dependant mentioned in this section shall not include a person who has claimed deduction under section 154 in computing his total income for the tax year.
(9) In this sections,—
(a) “Administrator” means the Administrator as referred to in section 2(a) of the Unit Trust of India (Transfer of Undertaking and Repeal) Act, 2002;
(b) “dependant” means—
(i) in the case of an individual, the spouse, children, parents, brothers and sisters of the individual or any of them;
(ii) in the case of a Hindu undivided family, a member of the Hindu undivided family,
dependant wholly or mainly on such individual or Hindu undivided family for his support and maintenance;
(c) </t>
        </r>
        <r>
          <rPr>
            <b/>
            <sz val="9"/>
            <color indexed="81"/>
            <rFont val="Tahoma"/>
            <family val="2"/>
          </rPr>
          <t>“disability”</t>
        </r>
        <r>
          <rPr>
            <sz val="9"/>
            <color indexed="81"/>
            <rFont val="Tahoma"/>
            <family val="2"/>
          </rPr>
          <t xml:space="preserve"> shall have the same meaning as assigned to it in section 2(i) of the Persons with Disabilities (Equal Opportunities, Protection of Rights and Full Participation) Act, 1995 and includes “autism”, “cerebral palsy” and “multiple disability” respectively referred to in section 2(a), (c) and (h) of the National Trust for Welfare of Persons with Autism, Cerebral Palsy, Mental Retardation and Multiple Disabilities Act, 1999;
(f) “</t>
        </r>
        <r>
          <rPr>
            <b/>
            <sz val="9"/>
            <color indexed="81"/>
            <rFont val="Tahoma"/>
            <family val="2"/>
          </rPr>
          <t>person with disability</t>
        </r>
        <r>
          <rPr>
            <sz val="9"/>
            <color indexed="81"/>
            <rFont val="Tahoma"/>
            <family val="2"/>
          </rPr>
          <t>” means a person as referred to in section 2(t) of the Persons with Disabilities (Equal Opportunities, Protection of Rights and Full Participation) Act, 1995 or section 2(j) of the National Trust for Welfare of Persons with Autism, Cerebral Palsy, Mental Retardation and Multiple Disabilities Act, 1999;
(g) “</t>
        </r>
        <r>
          <rPr>
            <b/>
            <sz val="9"/>
            <color indexed="81"/>
            <rFont val="Tahoma"/>
            <family val="2"/>
          </rPr>
          <t>person with severe disability</t>
        </r>
        <r>
          <rPr>
            <sz val="9"/>
            <color indexed="81"/>
            <rFont val="Tahoma"/>
            <family val="2"/>
          </rPr>
          <t>” means—
(i) a person with 80% or more of one or more disabilities, as referred to in section 56(4) of the Persons with Disabilities (Equal Opportunities, Protection of Rights and Full Participation) Act, 1995; or
(ii) a person with severe disability referred to in section 2(o) of the National Trust for Welfare of Persons with Autism, Cerebral Palsy, Mental Retardation and Multiple Disabilities Act, 1999;</t>
        </r>
      </text>
    </comment>
    <comment ref="AJ131" authorId="0" shapeId="0" xr:uid="{00000000-0006-0000-0000-000018000000}">
      <text>
        <r>
          <rPr>
            <b/>
            <sz val="9"/>
            <color indexed="81"/>
            <rFont val="Tahoma"/>
            <family val="2"/>
          </rPr>
          <t>Deduction in respect of medical treatment, etc:</t>
        </r>
        <r>
          <rPr>
            <sz val="9"/>
            <color indexed="81"/>
            <rFont val="Tahoma"/>
            <family val="2"/>
          </rPr>
          <t xml:space="preserve">
</t>
        </r>
        <r>
          <rPr>
            <b/>
            <sz val="9"/>
            <color indexed="81"/>
            <rFont val="Tahoma"/>
            <family val="2"/>
          </rPr>
          <t>128</t>
        </r>
        <r>
          <rPr>
            <sz val="9"/>
            <color indexed="81"/>
            <rFont val="Tahoma"/>
            <family val="2"/>
          </rPr>
          <t xml:space="preserve">. (1) An assessee who is resident in India, shall be allowed a deduction of the amount actually paid during the tax year or a sum of </t>
        </r>
        <r>
          <rPr>
            <b/>
            <sz val="9"/>
            <color indexed="81"/>
            <rFont val="Tahoma"/>
            <family val="2"/>
          </rPr>
          <t>forty thousand rupees</t>
        </r>
        <r>
          <rPr>
            <sz val="9"/>
            <color indexed="81"/>
            <rFont val="Tahoma"/>
            <family val="2"/>
          </rPr>
          <t xml:space="preserve">, whichever is less, from income chargeable to tax of that tax year, for the medical treatment of such disease or ailment as prescribed—
(a) </t>
        </r>
        <r>
          <rPr>
            <b/>
            <sz val="9"/>
            <color indexed="81"/>
            <rFont val="Tahoma"/>
            <family val="2"/>
          </rPr>
          <t>for himself or a dependant</t>
        </r>
        <r>
          <rPr>
            <sz val="9"/>
            <color indexed="81"/>
            <rFont val="Tahoma"/>
            <family val="2"/>
          </rPr>
          <t xml:space="preserve">, in case the assessee is an individual; or
(b) for any member of a Hindu undivided family, in case the assessee is a Hindu undivided family.
(2) A deduction shall be allowed under this section only if the assessee obtains the prescription for the medical treatment from a </t>
        </r>
        <r>
          <rPr>
            <b/>
            <sz val="9"/>
            <color indexed="81"/>
            <rFont val="Tahoma"/>
            <family val="2"/>
          </rPr>
          <t>neurologist,</t>
        </r>
        <r>
          <rPr>
            <sz val="9"/>
            <color indexed="81"/>
            <rFont val="Tahoma"/>
            <family val="2"/>
          </rPr>
          <t xml:space="preserve"> </t>
        </r>
        <r>
          <rPr>
            <b/>
            <sz val="9"/>
            <color indexed="81"/>
            <rFont val="Tahoma"/>
            <family val="2"/>
          </rPr>
          <t>oncologist,</t>
        </r>
        <r>
          <rPr>
            <sz val="9"/>
            <color indexed="81"/>
            <rFont val="Tahoma"/>
            <family val="2"/>
          </rPr>
          <t xml:space="preserve"> </t>
        </r>
        <r>
          <rPr>
            <b/>
            <sz val="9"/>
            <color indexed="81"/>
            <rFont val="Tahoma"/>
            <family val="2"/>
          </rPr>
          <t>urologist,</t>
        </r>
        <r>
          <rPr>
            <sz val="9"/>
            <color indexed="81"/>
            <rFont val="Tahoma"/>
            <family val="2"/>
          </rPr>
          <t xml:space="preserve"> </t>
        </r>
        <r>
          <rPr>
            <b/>
            <sz val="9"/>
            <color indexed="81"/>
            <rFont val="Tahoma"/>
            <family val="2"/>
          </rPr>
          <t>haematologist,</t>
        </r>
        <r>
          <rPr>
            <sz val="9"/>
            <color indexed="81"/>
            <rFont val="Tahoma"/>
            <family val="2"/>
          </rPr>
          <t xml:space="preserve"> </t>
        </r>
        <r>
          <rPr>
            <b/>
            <sz val="9"/>
            <color indexed="81"/>
            <rFont val="Tahoma"/>
            <family val="2"/>
          </rPr>
          <t>immunologist,</t>
        </r>
        <r>
          <rPr>
            <sz val="9"/>
            <color indexed="81"/>
            <rFont val="Tahoma"/>
            <family val="2"/>
          </rPr>
          <t xml:space="preserve"> or </t>
        </r>
        <r>
          <rPr>
            <b/>
            <sz val="9"/>
            <color indexed="81"/>
            <rFont val="Tahoma"/>
            <family val="2"/>
          </rPr>
          <t>any other specialist</t>
        </r>
        <r>
          <rPr>
            <sz val="9"/>
            <color indexed="81"/>
            <rFont val="Tahoma"/>
            <family val="2"/>
          </rPr>
          <t xml:space="preserve">, as prescribed.
(3) The deduction under this section shall be reduced by any amount received under an insurance from an insurer, or reimbursed by an employer, for the medical treatment of the person as referred to in sub-section (1)(a) or (b).
(4) If the amount actually paid is in respect of the </t>
        </r>
        <r>
          <rPr>
            <b/>
            <sz val="9"/>
            <color indexed="81"/>
            <rFont val="Tahoma"/>
            <family val="2"/>
          </rPr>
          <t>assessee or his dependant</t>
        </r>
        <r>
          <rPr>
            <sz val="9"/>
            <color indexed="81"/>
            <rFont val="Tahoma"/>
            <family val="2"/>
          </rPr>
          <t xml:space="preserve"> or any member of a Hindu undivided family of the assessee and who is </t>
        </r>
        <r>
          <rPr>
            <b/>
            <sz val="9"/>
            <color indexed="81"/>
            <rFont val="Tahoma"/>
            <family val="2"/>
          </rPr>
          <t>senior citizen</t>
        </r>
        <r>
          <rPr>
            <sz val="9"/>
            <color indexed="81"/>
            <rFont val="Tahoma"/>
            <family val="2"/>
          </rPr>
          <t xml:space="preserve">, the amount of deduction as referred to in sub-section (1) shall be substituted with </t>
        </r>
        <r>
          <rPr>
            <b/>
            <sz val="9"/>
            <color indexed="81"/>
            <rFont val="Tahoma"/>
            <family val="2"/>
          </rPr>
          <t>one lakh rupees</t>
        </r>
        <r>
          <rPr>
            <sz val="9"/>
            <color indexed="81"/>
            <rFont val="Tahoma"/>
            <family val="2"/>
          </rPr>
          <t xml:space="preserve"> for forty thousand rupees.
(5) In this section,––
(a) “dependant” shall have the meaning as provided in section 127;
(b) “insurer” shall have the meaning assigned to it in section 2(9) of the Insurance Act, 1938.</t>
        </r>
      </text>
    </comment>
    <comment ref="AJ133" authorId="0" shapeId="0" xr:uid="{00000000-0006-0000-0000-000019000000}">
      <text>
        <r>
          <rPr>
            <b/>
            <sz val="9"/>
            <color indexed="81"/>
            <rFont val="Tahoma"/>
            <family val="2"/>
          </rPr>
          <t>Deduction in respect of interest on loan taken for higher education.:</t>
        </r>
        <r>
          <rPr>
            <sz val="9"/>
            <color indexed="81"/>
            <rFont val="Tahoma"/>
            <family val="2"/>
          </rPr>
          <t xml:space="preserve">
</t>
        </r>
        <r>
          <rPr>
            <b/>
            <sz val="9"/>
            <color indexed="81"/>
            <rFont val="Tahoma"/>
            <family val="2"/>
          </rPr>
          <t>129</t>
        </r>
        <r>
          <rPr>
            <sz val="9"/>
            <color indexed="81"/>
            <rFont val="Tahoma"/>
            <family val="2"/>
          </rPr>
          <t xml:space="preserve">. (1) An assessee, being an individual, shall be allowed a deduction of </t>
        </r>
        <r>
          <rPr>
            <b/>
            <sz val="9"/>
            <color indexed="81"/>
            <rFont val="Tahoma"/>
            <family val="2"/>
          </rPr>
          <t>amount paid as interest</t>
        </r>
        <r>
          <rPr>
            <sz val="9"/>
            <color indexed="81"/>
            <rFont val="Tahoma"/>
            <family val="2"/>
          </rPr>
          <t xml:space="preserve"> during a tax year, subject to the provisions of this section, on a loan taken by him from any financial institution or any approved charitable institution, if the––
(a) loan taken is for the purpose of pursuing</t>
        </r>
        <r>
          <rPr>
            <b/>
            <sz val="9"/>
            <color indexed="81"/>
            <rFont val="Tahoma"/>
            <family val="2"/>
          </rPr>
          <t xml:space="preserve"> higher education of himself or his relative</t>
        </r>
        <r>
          <rPr>
            <sz val="9"/>
            <color indexed="81"/>
            <rFont val="Tahoma"/>
            <family val="2"/>
          </rPr>
          <t>; and
(b) payment is made out of his income chargeable to tax.
(2) The deduction referred to in sub-section (1) shall be allowed in computing the total income in respect of the initial tax year and seven tax years immediately succeeding the initial tax year, or until the</t>
        </r>
        <r>
          <rPr>
            <b/>
            <sz val="9"/>
            <color indexed="81"/>
            <rFont val="Tahoma"/>
            <family val="2"/>
          </rPr>
          <t xml:space="preserve"> interest on the loan is fully paid by the assessee</t>
        </r>
        <r>
          <rPr>
            <sz val="9"/>
            <color indexed="81"/>
            <rFont val="Tahoma"/>
            <family val="2"/>
          </rPr>
          <t xml:space="preserve">, whichever is earlier.
(3) In this section,—
(a) “approved charitable institution” means a registered non-profit organisation where it was approved earlier under the provisions of section 10(23C) of the Income-tax Act, 1961, or an institution referred to in section 80G(2)(a) of the said Act;
(b) “financial institution” means a banking company to which the Banking Regulation Act, 1949 applies (including any bank or banking institution referred to in section 51 of that Act) or any other financial institution which the Central Government may, by notification, specify;
(c) “higher education” means any course of study pursued after passing the Senior Secondary Examination or its equivalent from a school, board, or University recognised by the Central Government or State Government, local authority, or by any authority authorised by the Central Government or State Government or local authority to do so;
(d) “initial tax year” means the tax year in which the assessee starts paying the interest on the loan; and
(e) </t>
        </r>
        <r>
          <rPr>
            <b/>
            <sz val="9"/>
            <color indexed="81"/>
            <rFont val="Tahoma"/>
            <family val="2"/>
          </rPr>
          <t>“relative”,</t>
        </r>
        <r>
          <rPr>
            <sz val="9"/>
            <color indexed="81"/>
            <rFont val="Tahoma"/>
            <family val="2"/>
          </rPr>
          <t xml:space="preserve"> in relation to an individual, means the </t>
        </r>
        <r>
          <rPr>
            <b/>
            <sz val="9"/>
            <color indexed="81"/>
            <rFont val="Tahoma"/>
            <family val="2"/>
          </rPr>
          <t>spouse and children of that individual</t>
        </r>
        <r>
          <rPr>
            <sz val="9"/>
            <color indexed="81"/>
            <rFont val="Tahoma"/>
            <family val="2"/>
          </rPr>
          <t xml:space="preserve">, or </t>
        </r>
        <r>
          <rPr>
            <b/>
            <sz val="9"/>
            <color indexed="81"/>
            <rFont val="Tahoma"/>
            <family val="2"/>
          </rPr>
          <t>the student for whom the individual is the legal guardian</t>
        </r>
        <r>
          <rPr>
            <sz val="9"/>
            <color indexed="81"/>
            <rFont val="Tahoma"/>
            <family val="2"/>
          </rPr>
          <t>.</t>
        </r>
      </text>
    </comment>
    <comment ref="AJ135" authorId="0" shapeId="0" xr:uid="{00000000-0006-0000-0000-00001A000000}">
      <text>
        <r>
          <rPr>
            <b/>
            <sz val="9"/>
            <color indexed="81"/>
            <rFont val="Tahoma"/>
            <family val="2"/>
          </rPr>
          <t>Deduction in respect of interest on loan taken for residential house property:</t>
        </r>
        <r>
          <rPr>
            <sz val="9"/>
            <color indexed="81"/>
            <rFont val="Tahoma"/>
            <family val="2"/>
          </rPr>
          <t xml:space="preserve">
</t>
        </r>
        <r>
          <rPr>
            <b/>
            <sz val="9"/>
            <color indexed="81"/>
            <rFont val="Tahoma"/>
            <family val="2"/>
          </rPr>
          <t>130</t>
        </r>
        <r>
          <rPr>
            <sz val="9"/>
            <color indexed="81"/>
            <rFont val="Tahoma"/>
            <family val="2"/>
          </rPr>
          <t>. (1) An assessee, being an individual, shall be allowed a</t>
        </r>
        <r>
          <rPr>
            <b/>
            <sz val="9"/>
            <color indexed="81"/>
            <rFont val="Tahoma"/>
            <family val="2"/>
          </rPr>
          <t xml:space="preserve"> deduction of interest </t>
        </r>
        <r>
          <rPr>
            <sz val="9"/>
            <color indexed="81"/>
            <rFont val="Tahoma"/>
            <family val="2"/>
          </rPr>
          <t xml:space="preserve">payable on loan taken by him from any financial institution for the purpose of acquisition of a </t>
        </r>
        <r>
          <rPr>
            <b/>
            <sz val="9"/>
            <color indexed="81"/>
            <rFont val="Tahoma"/>
            <family val="2"/>
          </rPr>
          <t>residential house property</t>
        </r>
        <r>
          <rPr>
            <sz val="9"/>
            <color indexed="81"/>
            <rFont val="Tahoma"/>
            <family val="2"/>
          </rPr>
          <t xml:space="preserve"> as per the provisions of this section.
(2) The deduction under sub-section (1) shall not exceed </t>
        </r>
        <r>
          <rPr>
            <b/>
            <sz val="9"/>
            <color indexed="81"/>
            <rFont val="Tahoma"/>
            <family val="2"/>
          </rPr>
          <t>fifty thousand rupees</t>
        </r>
        <r>
          <rPr>
            <sz val="9"/>
            <color indexed="81"/>
            <rFont val="Tahoma"/>
            <family val="2"/>
          </rPr>
          <t xml:space="preserve"> and shall be allowed in computing the total income of the individual for the tax year beginning on the </t>
        </r>
        <r>
          <rPr>
            <b/>
            <sz val="9"/>
            <color indexed="81"/>
            <rFont val="Tahoma"/>
            <family val="2"/>
          </rPr>
          <t>1st April, 2016 and subsequent tax years</t>
        </r>
        <r>
          <rPr>
            <sz val="9"/>
            <color indexed="81"/>
            <rFont val="Tahoma"/>
            <family val="2"/>
          </rPr>
          <t xml:space="preserve">.
(3) The deduction under sub-section (1) shall be subject to the following conditions:—
(a) the </t>
        </r>
        <r>
          <rPr>
            <b/>
            <sz val="9"/>
            <color indexed="81"/>
            <rFont val="Tahoma"/>
            <family val="2"/>
          </rPr>
          <t>loan has been sanctioned</t>
        </r>
        <r>
          <rPr>
            <sz val="9"/>
            <color indexed="81"/>
            <rFont val="Tahoma"/>
            <family val="2"/>
          </rPr>
          <t xml:space="preserve"> by the financial institution during the period beginning on </t>
        </r>
        <r>
          <rPr>
            <b/>
            <sz val="9"/>
            <color indexed="81"/>
            <rFont val="Tahoma"/>
            <family val="2"/>
          </rPr>
          <t>the 1st April, 2016 and ending on the 31st March, 2017</t>
        </r>
        <r>
          <rPr>
            <sz val="9"/>
            <color indexed="81"/>
            <rFont val="Tahoma"/>
            <family val="2"/>
          </rPr>
          <t xml:space="preserve">;
(b) the amount of </t>
        </r>
        <r>
          <rPr>
            <b/>
            <sz val="9"/>
            <color indexed="81"/>
            <rFont val="Tahoma"/>
            <family val="2"/>
          </rPr>
          <t>loan sanctioned</t>
        </r>
        <r>
          <rPr>
            <sz val="9"/>
            <color indexed="81"/>
            <rFont val="Tahoma"/>
            <family val="2"/>
          </rPr>
          <t xml:space="preserve"> for acquisition of the residential house property does not exceed </t>
        </r>
        <r>
          <rPr>
            <b/>
            <sz val="9"/>
            <color indexed="81"/>
            <rFont val="Tahoma"/>
            <family val="2"/>
          </rPr>
          <t>thirty-five lakh rupees</t>
        </r>
        <r>
          <rPr>
            <sz val="9"/>
            <color indexed="81"/>
            <rFont val="Tahoma"/>
            <family val="2"/>
          </rPr>
          <t xml:space="preserve">;
(c) the </t>
        </r>
        <r>
          <rPr>
            <b/>
            <sz val="9"/>
            <color indexed="81"/>
            <rFont val="Tahoma"/>
            <family val="2"/>
          </rPr>
          <t xml:space="preserve">value of residential house property </t>
        </r>
        <r>
          <rPr>
            <sz val="9"/>
            <color indexed="81"/>
            <rFont val="Tahoma"/>
            <family val="2"/>
          </rPr>
          <t xml:space="preserve">does not exceed </t>
        </r>
        <r>
          <rPr>
            <b/>
            <sz val="9"/>
            <color indexed="81"/>
            <rFont val="Tahoma"/>
            <family val="2"/>
          </rPr>
          <t>fifty lakh rupees</t>
        </r>
        <r>
          <rPr>
            <sz val="9"/>
            <color indexed="81"/>
            <rFont val="Tahoma"/>
            <family val="2"/>
          </rPr>
          <t xml:space="preserve">; and
(d) the </t>
        </r>
        <r>
          <rPr>
            <b/>
            <sz val="9"/>
            <color indexed="81"/>
            <rFont val="Tahoma"/>
            <family val="2"/>
          </rPr>
          <t xml:space="preserve">assessee does not own </t>
        </r>
        <r>
          <rPr>
            <sz val="9"/>
            <color indexed="81"/>
            <rFont val="Tahoma"/>
            <family val="2"/>
          </rPr>
          <t xml:space="preserve">any residential </t>
        </r>
        <r>
          <rPr>
            <b/>
            <sz val="9"/>
            <color indexed="81"/>
            <rFont val="Tahoma"/>
            <family val="2"/>
          </rPr>
          <t>house property</t>
        </r>
        <r>
          <rPr>
            <sz val="9"/>
            <color indexed="81"/>
            <rFont val="Tahoma"/>
            <family val="2"/>
          </rPr>
          <t xml:space="preserve"> on the date of sanction of loan.
(4) Where a deduction under this section is allowed for any interest referred to in sub-section (1), deduction shall not be allowed in respect of such interest under any other provision of this Act for the same or any other tax year.
(5) In this section,—
(a) “financial institution” means a banking company to which the Banking Regulation Act, 1949 applies, or any bank or banking institution referred to in section 51 of that Act or a housing finance company; and
(b) “housing finance company” means a public company formed or registered in India with the main object of carrying on the business of providing long-term finance for construction or purchase of houses in India for residential purposes.</t>
        </r>
      </text>
    </comment>
    <comment ref="AJ137" authorId="0" shapeId="0" xr:uid="{4FB68B07-9143-4F8B-9262-154C28445163}">
      <text>
        <r>
          <rPr>
            <b/>
            <sz val="9"/>
            <color indexed="81"/>
            <rFont val="Tahoma"/>
            <family val="2"/>
          </rPr>
          <t>Deduction in respect of interest on loan taken for certain house property.</t>
        </r>
        <r>
          <rPr>
            <sz val="9"/>
            <color indexed="81"/>
            <rFont val="Tahoma"/>
            <family val="2"/>
          </rPr>
          <t xml:space="preserve">
</t>
        </r>
        <r>
          <rPr>
            <b/>
            <sz val="9"/>
            <color indexed="81"/>
            <rFont val="Tahoma"/>
            <family val="2"/>
          </rPr>
          <t>131.</t>
        </r>
        <r>
          <rPr>
            <sz val="9"/>
            <color indexed="81"/>
            <rFont val="Tahoma"/>
            <family val="2"/>
          </rPr>
          <t xml:space="preserve"> (1) An assessee, being an individual </t>
        </r>
        <r>
          <rPr>
            <b/>
            <sz val="9"/>
            <color indexed="81"/>
            <rFont val="Tahoma"/>
            <family val="2"/>
          </rPr>
          <t>not eligible to claim deduction</t>
        </r>
        <r>
          <rPr>
            <sz val="9"/>
            <color indexed="81"/>
            <rFont val="Tahoma"/>
            <family val="2"/>
          </rPr>
          <t xml:space="preserve"> under</t>
        </r>
        <r>
          <rPr>
            <b/>
            <sz val="9"/>
            <color indexed="81"/>
            <rFont val="Tahoma"/>
            <family val="2"/>
          </rPr>
          <t xml:space="preserve"> section 130</t>
        </r>
        <r>
          <rPr>
            <sz val="9"/>
            <color indexed="81"/>
            <rFont val="Tahoma"/>
            <family val="2"/>
          </rPr>
          <t xml:space="preserve">, shall be allowed a deduction on </t>
        </r>
        <r>
          <rPr>
            <b/>
            <sz val="9"/>
            <color indexed="81"/>
            <rFont val="Tahoma"/>
            <family val="2"/>
          </rPr>
          <t>interest</t>
        </r>
        <r>
          <rPr>
            <sz val="9"/>
            <color indexed="81"/>
            <rFont val="Tahoma"/>
            <family val="2"/>
          </rPr>
          <t xml:space="preserve"> payable on loan taken by him from any financial institution for the purpose of acquisition of a </t>
        </r>
        <r>
          <rPr>
            <b/>
            <sz val="9"/>
            <color indexed="81"/>
            <rFont val="Tahoma"/>
            <family val="2"/>
          </rPr>
          <t>residential house property</t>
        </r>
        <r>
          <rPr>
            <sz val="9"/>
            <color indexed="81"/>
            <rFont val="Tahoma"/>
            <family val="2"/>
          </rPr>
          <t xml:space="preserve">, subject to a maximum limit of </t>
        </r>
        <r>
          <rPr>
            <b/>
            <sz val="9"/>
            <color indexed="81"/>
            <rFont val="Tahoma"/>
            <family val="2"/>
          </rPr>
          <t>one lakh and fifty thousand rupees</t>
        </r>
        <r>
          <rPr>
            <sz val="9"/>
            <color indexed="81"/>
            <rFont val="Tahoma"/>
            <family val="2"/>
          </rPr>
          <t xml:space="preserve"> in a tax year and on fulfilment of conditions specified in sub-section (2), for the tax year beginning on the </t>
        </r>
        <r>
          <rPr>
            <b/>
            <sz val="9"/>
            <color indexed="81"/>
            <rFont val="Tahoma"/>
            <family val="2"/>
          </rPr>
          <t>1st April, 2019</t>
        </r>
        <r>
          <rPr>
            <sz val="9"/>
            <color indexed="81"/>
            <rFont val="Tahoma"/>
            <family val="2"/>
          </rPr>
          <t xml:space="preserve"> and subsequent tax years.
(2) The deduction under sub-section (1) shall be subject to the following conditions:—
(a) the </t>
        </r>
        <r>
          <rPr>
            <b/>
            <sz val="9"/>
            <color indexed="81"/>
            <rFont val="Tahoma"/>
            <family val="2"/>
          </rPr>
          <t>loan has been sanctioned</t>
        </r>
        <r>
          <rPr>
            <sz val="9"/>
            <color indexed="81"/>
            <rFont val="Tahoma"/>
            <family val="2"/>
          </rPr>
          <t xml:space="preserve"> by the financial institution during the period beginning on the </t>
        </r>
        <r>
          <rPr>
            <b/>
            <sz val="9"/>
            <color indexed="81"/>
            <rFont val="Tahoma"/>
            <family val="2"/>
          </rPr>
          <t>1st April, 2019</t>
        </r>
        <r>
          <rPr>
            <sz val="9"/>
            <color indexed="81"/>
            <rFont val="Tahoma"/>
            <family val="2"/>
          </rPr>
          <t xml:space="preserve"> and ending with the </t>
        </r>
        <r>
          <rPr>
            <b/>
            <sz val="9"/>
            <color indexed="81"/>
            <rFont val="Tahoma"/>
            <family val="2"/>
          </rPr>
          <t>31st March, 2022</t>
        </r>
        <r>
          <rPr>
            <sz val="9"/>
            <color indexed="81"/>
            <rFont val="Tahoma"/>
            <family val="2"/>
          </rPr>
          <t>;
(b) the</t>
        </r>
        <r>
          <rPr>
            <b/>
            <sz val="9"/>
            <color indexed="81"/>
            <rFont val="Tahoma"/>
            <family val="2"/>
          </rPr>
          <t xml:space="preserve"> stamp duty </t>
        </r>
        <r>
          <rPr>
            <sz val="9"/>
            <color indexed="81"/>
            <rFont val="Tahoma"/>
            <family val="2"/>
          </rPr>
          <t xml:space="preserve">value of residential house property does not exceed </t>
        </r>
        <r>
          <rPr>
            <b/>
            <sz val="9"/>
            <color indexed="81"/>
            <rFont val="Tahoma"/>
            <family val="2"/>
          </rPr>
          <t>forty-five lakh rupees</t>
        </r>
        <r>
          <rPr>
            <sz val="9"/>
            <color indexed="81"/>
            <rFont val="Tahoma"/>
            <family val="2"/>
          </rPr>
          <t xml:space="preserve">; and
(c) the assessee </t>
        </r>
        <r>
          <rPr>
            <b/>
            <sz val="9"/>
            <color indexed="81"/>
            <rFont val="Tahoma"/>
            <family val="2"/>
          </rPr>
          <t>does not own any residential house</t>
        </r>
        <r>
          <rPr>
            <sz val="9"/>
            <color indexed="81"/>
            <rFont val="Tahoma"/>
            <family val="2"/>
          </rPr>
          <t xml:space="preserve"> property on the date of sanction of loan.
(3) Where a deduction under this section is allowed for any interest referred to in sub-section (1), deduction shall not be allowed in respect of such interest under any other provision of this Act for the same or any other tax year.
(4) In this section, “financial institution” shall have the meaning assigned to it in section 130(5)(a).</t>
        </r>
      </text>
    </comment>
    <comment ref="AJ139" authorId="0" shapeId="0" xr:uid="{00000000-0006-0000-0000-00001C000000}">
      <text>
        <r>
          <rPr>
            <b/>
            <sz val="9"/>
            <color indexed="81"/>
            <rFont val="Tahoma"/>
            <family val="2"/>
          </rPr>
          <t>Deduction in respect of purchase of electric vehicle :</t>
        </r>
        <r>
          <rPr>
            <sz val="9"/>
            <color indexed="81"/>
            <rFont val="Tahoma"/>
            <family val="2"/>
          </rPr>
          <t xml:space="preserve">
</t>
        </r>
        <r>
          <rPr>
            <b/>
            <sz val="9"/>
            <color indexed="81"/>
            <rFont val="Tahoma"/>
            <family val="2"/>
          </rPr>
          <t>132</t>
        </r>
        <r>
          <rPr>
            <sz val="9"/>
            <color indexed="81"/>
            <rFont val="Tahoma"/>
            <family val="2"/>
          </rPr>
          <t>. (1) An assessee, being an individual, shall be allowed a deduction of</t>
        </r>
        <r>
          <rPr>
            <b/>
            <sz val="9"/>
            <color indexed="81"/>
            <rFont val="Tahoma"/>
            <family val="2"/>
          </rPr>
          <t xml:space="preserve"> interest payable </t>
        </r>
        <r>
          <rPr>
            <sz val="9"/>
            <color indexed="81"/>
            <rFont val="Tahoma"/>
            <family val="2"/>
          </rPr>
          <t xml:space="preserve">on loan taken by him from any financial institution for the purpose of </t>
        </r>
        <r>
          <rPr>
            <b/>
            <sz val="9"/>
            <color indexed="81"/>
            <rFont val="Tahoma"/>
            <family val="2"/>
          </rPr>
          <t>purchase of an electric vehicle</t>
        </r>
        <r>
          <rPr>
            <sz val="9"/>
            <color indexed="81"/>
            <rFont val="Tahoma"/>
            <family val="2"/>
          </rPr>
          <t xml:space="preserve">, as per the provisions of this section.
(2) The deduction under sub-section (1) shall be subject to the condition that the loan has been sanctioned by the financial institution during the period beginning on the </t>
        </r>
        <r>
          <rPr>
            <b/>
            <sz val="9"/>
            <color indexed="81"/>
            <rFont val="Tahoma"/>
            <family val="2"/>
          </rPr>
          <t>1st April, 2019</t>
        </r>
        <r>
          <rPr>
            <sz val="9"/>
            <color indexed="81"/>
            <rFont val="Tahoma"/>
            <family val="2"/>
          </rPr>
          <t xml:space="preserve"> and ending with the </t>
        </r>
        <r>
          <rPr>
            <b/>
            <sz val="9"/>
            <color indexed="81"/>
            <rFont val="Tahoma"/>
            <family val="2"/>
          </rPr>
          <t>31st March, 2023</t>
        </r>
        <r>
          <rPr>
            <sz val="9"/>
            <color indexed="81"/>
            <rFont val="Tahoma"/>
            <family val="2"/>
          </rPr>
          <t xml:space="preserve">.
(3) The deduction under sub-section (1) shall not exceed </t>
        </r>
        <r>
          <rPr>
            <b/>
            <sz val="9"/>
            <color indexed="81"/>
            <rFont val="Tahoma"/>
            <family val="2"/>
          </rPr>
          <t xml:space="preserve">one lakh fifty thousand rupees </t>
        </r>
        <r>
          <rPr>
            <sz val="9"/>
            <color indexed="81"/>
            <rFont val="Tahoma"/>
            <family val="2"/>
          </rPr>
          <t xml:space="preserve">and shall be allowed in computing the total income of the individual for the tax year beginning on the </t>
        </r>
        <r>
          <rPr>
            <b/>
            <sz val="9"/>
            <color indexed="81"/>
            <rFont val="Tahoma"/>
            <family val="2"/>
          </rPr>
          <t>1st April, 2019 and subsequent tax years</t>
        </r>
        <r>
          <rPr>
            <sz val="9"/>
            <color indexed="81"/>
            <rFont val="Tahoma"/>
            <family val="2"/>
          </rPr>
          <t>.
(4) Where a deduction under this section is allowed for any interest referred to in sub-section (1), deduction shall not be allowed in respect of such interest under any other provision of this Act for the same or any other tax year.
(5) In this section,—
(a) “electric vehicle” means a vehicle powered exclusively by an electric motor, whose traction energy is supplied exclusively by traction battery installed in the vehicle and has such electric regenerative braking system, which during braking provides for the conversion of vehicle kinetic energy into electrical energy; and
(b) “financial institution” means a banking company to which the Banking Regulation Act, 1949 applies, or any bank or banking institution referred to in section 51 of that Act and includes a non-banking financial company.</t>
        </r>
      </text>
    </comment>
    <comment ref="AJ141" authorId="0" shapeId="0" xr:uid="{00000000-0006-0000-0000-00001D000000}">
      <text>
        <r>
          <rPr>
            <b/>
            <sz val="9"/>
            <color indexed="81"/>
            <rFont val="Tahoma"/>
            <family val="2"/>
          </rPr>
          <t>Deduction in respect of donations to certain funds, charitable institutions, etc :</t>
        </r>
        <r>
          <rPr>
            <sz val="9"/>
            <color indexed="81"/>
            <rFont val="Tahoma"/>
            <family val="2"/>
          </rPr>
          <t xml:space="preserve">
</t>
        </r>
        <r>
          <rPr>
            <b/>
            <sz val="9"/>
            <color indexed="81"/>
            <rFont val="Tahoma"/>
            <family val="2"/>
          </rPr>
          <t>133</t>
        </r>
        <r>
          <rPr>
            <sz val="9"/>
            <color indexed="81"/>
            <rFont val="Tahoma"/>
            <family val="2"/>
          </rPr>
          <t>. (1) In computing the total income of an assessee, there shall be deducted, as per and subject to the provisions of this section,—
(a) the whole of the aggregate of the sum or the sums paid by the assessee, in the tax year as donations to––
(i) the National Defence Fund set up by the Central Government; or
(ii) the Prime Minister’s National Relief Fund or the Prime Minister’s Citizen Assistance and Relief in Emergency Situations Fund (PM CARES FUND); or
(iii) the Prime Minister’s Armenia Earthquake Relief Fund; or
(iv) the Africa (Public Contributions-India) Fund; or
(v) the National Children’s Fund; or
(vi) the National Foundation for Communal Harmony; or
(vii) a University or any educational institution of national eminence as may be approved by the prescribed authority in this behalf; or
(viii) any fund set up by the State Government of Gujarat exclusively for providing relief to the victims of earthquake in Gujarat; or
(ix) any Zila Saksharta Samiti constituted in any district under the chairmanship of the Collector of that district for improving primary education in villages and towns (having a population up to one lakh) according to the last published census of which figures are available before the first day of the relevant tax year), in such district and for literacy and post-literacy activities; or
(x) the National Blood Transfusion Council or any State Blood Transfusion Council, which has its sole object the control, supervision, regulation or encouragement in India of the services related to operation and requirements of blood banks; or
(xi) any fund set up by a State Government to provide medical relief to the poor; or
(xii) the Army Central Welfare Fund or the Indian Naval Benevolent Fund or the Air Force Central Welfare Fund established by the armed forces of the Union for the welfare of the past and present members of such forces or their dependants; or
(xiii) the Andhra Pradesh Chief Minister’s Cyclone Relief Fund, 1996; or
(xiv) the National Illness Assistance Fund; or
(xv) the Chief Minister’s Relief Fund or the Lieutenant Governor’s Relief Fund, if the fund meets all the following conditions:––
(A) it is the only fund of its kind established in the State or the Union territory;
(B) it is under the overall control of the Chief Secretary or the Department of Finance of the respective State or the Union territory;
(C) it is administered in a manner specified by the State Government or the Lieutenant Governor; or
(xvi) the National Sports Development Fund to be set up by the Central Government; or
(xvii) the National Cultural Fund set up by the Central Government; or
(xviii) the Fund for Technology Development and Application set up by the Central Government; or
(xix) the National Trust for Welfare of Persons with Autism, Cerebral Palsy, Mental Retardation and Multiple Disabilities constituted under section 3(1) of the National Trust for Welfare of Persons with Autism, Cerebral Palsy, Mental Retardation and Multiple Disabilities Act, 1999; or
(xx) the Swachh Bharat Kosh, set up by the Central Government, other than the sum spent by the assessee in pursuance of Corporate Social Responsibility under section 135(5) of the Companies Act, 2013; or
(xxi) the Clean Ganga Fund, set up by the Central Government, where such assessee is a resident and such sum is other than the sum spent by the assessee in pursuance of Corporate Social Responsibility under section 135(5) of the Companies Act, 2013; or
(xxii) the National Fund for Control of Drug Abuse constituted under section 7A of the Narcotic Drugs and Psychotropic Substances Act, 1985; or
(xxiii) the Government or to any such local authority, institution or association as may be approved in this behalf by the Central Government, to be utilised for the purpose of promoting family planning; or
(xxiv) the Indian Olympic Association or any other association or institution established in India, as the Central Government may, having regard to the prescribed guidelines, by notification specify in this behalf for—
(A) the development of infrastructure for sports and games in India; or
(B) the sponsorship of sports and games in India,
and where the assessee is a company;
(b) an amount equal to 50% of the aggregate of the sums paid as donation by an assessee during the tax year to––
(i) the Prime Minister’s Drought Relief Fund;
(ii) any fund or any institution to which this section applies, if:—
(A) it is established in India for a charitable purpose; and
(B) it is a registered non-profit organisation or an institution or fund mentioned in Schedule VII (Table: Sl. No. 1) and approved under section 354;
(iii) the Government or any local authority, to be utilised for any charitable purpose other than the purpose of promoting family planning;
(iv) an authority constituted in India by or under any law enacted either for the purpose of dealing with and satisfying the need for housing accommodation or for the purpose of planning, development or improvement of cities, towns and villages, or for both;
(v) a corporation established by the Central Government or any State Government for promoting the interests of the members of a minority community;
(vi) for the purposes of sub-clause (v), “minority community” means a community notified as such by the Central Government;
(vii) any entity, for the renovation or repair of any temple, mosque, gurudwara, church or other place which is notified by the Central Government to be of historic, archaeological or artistic importance or to be a place of public worship of renown throughout any State or States.
(2) Where the aggregate of the sums referred to in sub-section (1)(a)(xxiii) and (xxiv), sub-section (1)(b)(ii) to (v) and (vii) exceeds 10% of the adjusted gross total income, then the amount in excess of 10% of the gross total income shall be ignored for the purpose of computing the aggregate of the sums in respect of which deduction is to be allowed under sub-section (1).
(3) Where deduction under this section is claimed and allowed for any tax year in respect of any sum specified in sub-section (1), the sum in respect of which deduction is so allowed shall not qualify for deduction under any other provision of this Act for the same or any other tax year.
(4) The deduction under this section shall be allowed only for donation made as a sum of money.
(5) Any deduction for a donation over two thousand rupees shall be allowed only if the payment is made by a mode other than cash.
(6) Any claim of deduction by the assessee in his return of income filed for any tax year in case of a donation made to an institution or fund referred in sub-section (1)(b)(ii), shall be allowed only on the basis of––
(a) the information relating to such donation furnished by such institution or fund to the prescribed authority or person authorised by such authority; and
(b) subject to verification as per the risk management strategy formulated by the Board from time to time.
(7) For the purposes of this section,––
(a) “adjusted gross total income” means gross total income as reduced by any portion thereof on which income-tax is not payable under any provision of this Act and by any amount in respect of which the assessee is entitled to a deduction under any other provision of this Chapter;
(b) “charitable purpose” does not include any purpose the whole or substantially the whole of which is of a religious nature;
(c) “National Blood Transfusion Council” means a society registered under the Societies Registration Act, 1860 and has an officer of the rank of an Additional Secretary to the Government of India or higher to deal with the AIDS Control Project as its Chairman;
(d) “State Blood Transfusion Council” means a society registered, in consultation with the National Blood Transfusion Council, under the Societies Registration Act, 1860 or under any law corresponding to that Act in force in any part of India and has a Secretary to the Government of that State dealing with the Department of Health, as its Chairman; and
(e) an association or institution having as its object the control, supervision, regulation or encouragement in India of such games or sports as notified by the Central Government, shall be considered to be an institution established in India for a charitable purpose.</t>
        </r>
      </text>
    </comment>
    <comment ref="AJ143" authorId="0" shapeId="0" xr:uid="{4AE206D7-2B76-4864-85A6-455D7C197E00}">
      <text>
        <r>
          <rPr>
            <b/>
            <sz val="9"/>
            <color indexed="81"/>
            <rFont val="Tahoma"/>
            <family val="2"/>
          </rPr>
          <t>Deduction in respect of donations to certain funds, charitable institutions, etc :</t>
        </r>
        <r>
          <rPr>
            <sz val="9"/>
            <color indexed="81"/>
            <rFont val="Tahoma"/>
            <family val="2"/>
          </rPr>
          <t xml:space="preserve">
</t>
        </r>
        <r>
          <rPr>
            <b/>
            <sz val="9"/>
            <color indexed="81"/>
            <rFont val="Tahoma"/>
            <family val="2"/>
          </rPr>
          <t>133</t>
        </r>
        <r>
          <rPr>
            <sz val="9"/>
            <color indexed="81"/>
            <rFont val="Tahoma"/>
            <family val="2"/>
          </rPr>
          <t xml:space="preserve">. (1) In computing the total income of an assessee, there shall be deducted, as per and subject to the provisions of this section,—
(a) the whole of the aggregate of the sum or the sums paid by the assessee, in the tax year as donations to––
(i) the National Defence Fund set up by the Central Government; or
(ii) the Prime Minister’s National Relief Fund or the Prime Minister’s Citizen Assistance and Relief in Emergency Situations Fund (PM CARES FUND); or
(iii) the Prime Minister’s Armenia Earthquake Relief Fund; or
(iv) the Africa (Public Contributions-India) Fund; or
(v) the National Children’s Fund; or
(vi) the National Foundation for Communal Harmony; or
(vii) a University or any educational institution of national eminence as may be approved by the prescribed authority in this behalf; or
(viii) any fund set up by the State Government of Gujarat exclusively for providing relief to the victims of earthquake in Gujarat; or
(ix) any Zila Saksharta Samiti constituted in any district under the chairmanship of the Collector of that district for improving primary education in villages and towns (having a population up to one lakh) according to the last published census of which figures are available before the first day of the relevant tax year), in such district and for literacy and post-literacy activities; or
(x) the National Blood Transfusion Council or any State Blood Transfusion Council, which has its sole object the control, supervision, regulation or encouragement in India of the services related to operation and requirements of blood banks; or
(xi) any fund set up by a State Government to provide medical relief to the poor; or
(xii) the Army Central Welfare Fund or the Indian Naval Benevolent Fund or the Air Force Central Welfare Fund established by the armed forces of the Union for the welfare of the past and present members of such forces or their dependants; or
(xiii) the Andhra Pradesh Chief Minister’s Cyclone Relief Fund, 1996; or
(xiv) the National Illness Assistance Fund; or
(xv) the Chief Minister’s Relief Fund or the Lieutenant Governor’s Relief Fund, if the fund meets all the following conditions:––
(A) it is the only fund of its kind established in the State or the Union territory;
(B) it is under the overall control of the Chief Secretary or the Department of Finance of the respective State or the Union territory;
(C) it is administered in a manner specified by the State Government or the Lieutenant Governor; or
(xvi) the National Sports Development Fund to be set up by the Central Government; or
(xvii) the National Cultural Fund set up by the Central Government; or
(xviii) the Fund for Technology Development and Application set up by the Central Government; or
(xix) the National Trust for Welfare of Persons with Autism, Cerebral Palsy, Mental Retardation and Multiple Disabilities constituted under section 3(1) of the National Trust for Welfare of Persons with Autism, Cerebral Palsy, Mental Retardation and Multiple Disabilities Act, 1999; or
(xx) the Swachh Bharat Kosh, set up by the Central Government, other than the sum spent by the assessee in pursuance of Corporate Social Responsibility under section 135(5) of the Companies Act, 2013; or
(xxi) the Clean Ganga Fund, set up by the Central Government, where such assessee is a resident and such sum is other than the sum spent by the assessee in pursuance of Corporate Social Responsibility under section 135(5) of the Companies Act, 2013; or
(xxii) the National Fund for Control of Drug Abuse constituted under section 7A of the Narcotic Drugs and Psychotropic Substances Act, 1985; or
(xxiii) the Government or to any such local authority, institution or association as may be approved in this behalf by the Central Government, to be utilised for the purpose of promoting family planning; or
(xxiv) the Indian Olympic Association or any other association or institution established in India, as the Central Government may, having regard to the prescribed guidelines, by notification specify in this behalf for—
(A) the development of infrastructure for sports and games in India; or
(B) the sponsorship of sports and games in India,
and where the assessee is a company;
(b) an amount equal to 50% of the aggregate of the sums paid as donation by an assessee during the tax year to––
(i) the Prime Minister’s Drought Relief Fund;
(ii) any fund or any institution to which this section applies, if:—
(A) it is established in India for a charitable purpose; and
(B) it is a registered non-profit organisation or an institution or fund mentioned in Schedule VII (Table: Sl. No. 1) and approved under section 354;
(iii) the Government or any local authority, to be utilised for any charitable purpose other than the purpose of promoting family planning;
(iv) an authority constituted in India by or under any law enacted either for the purpose of dealing with and satisfying the need for housing accommodation or for the purpose of planning, development or improvement of cities, towns and villages, or for both;
(v) a corporation established by the Central Government or any State Government for promoting the interests of the members of a minority community;
(vi) for the purposes of sub-clause (v), “minority community” means a community notified as such by the Central Government;
(vii) any entity, for the renovation or repair of any temple, mosque, gurudwara, church or other place which is notified by the Central Government to be of historic, archaeological or artistic importance or to be a place of public worship of renown throughout any State or States.
(2) Where the aggregate of the sums referred to in sub-section (1)(a)(xxiii) and (xxiv), sub-section (1)(b)(ii) to (v) and (vii) exceeds 10% of the adjusted gross total income, then the amount in excess of 10% of the gross total income shall be ignored for the purpose of computing the aggregate of the sums in respect of which deduction is to be allowed under sub-section (1).
(3) Where deduction under this section is claimed and allowed for any tax year in respect of any sum specified in sub-section (1), the sum in respect of which deduction is so allowed shall not qualify for deduction under any other provision of this Act for the same or any other tax year.
(4) The deduction under this section shall be allowed only for donation made as a sum of money.
(5) Any deduction for a donation over two thousand rupees shall be allowed only if the payment is made by a mode other than cash.
(6) Any claim of deduction by the assessee in his return of income filed for any tax year in case of a donation made to an institution or fund referred in sub-section (1)(b)(ii), shall be allowed only on the basis of––
(a) the information relating to such donation furnished by such institution or fund to the prescribed authority or person authorised by such authority; and
(b) subject to verification as per the risk management strategy formulated by the Board from time to time.
(7) For the purposes of this section,––
(a) “adjusted gross total income” means gross total income as reduced by any portion thereof on which income-tax is not payable under any provision of this Act and by any amount in respect of which the assessee is entitled to a deduction under any other provision of this Chapter;
(b) “charitable purpose” does not include any purpose the whole or substantially the whole of which is of a religious nature;
(c) “National Blood Transfusion Council” means a society registered under the Societies Registration Act, 1860 and has an officer of the rank of an Additional Secretary to the Government of India or higher to deal with the AIDS Control Project as its Chairman;
(d) “State Blood Transfusion Council” means a society registered, in consultation with the National Blood Transfusion Council, under the Societies Registration Act, 1860 or under any law corresponding to that Act in force in any part of India and has a Secretary to the Government of that State dealing with the Department of Health, as its Chairman; and
(e) an association or institution having as its object the control, supervision, regulation or encouragement in India of such games or sports as notified by the Central Government, shall be considered to be an institution established in India for a charitable purpose.
</t>
        </r>
      </text>
    </comment>
    <comment ref="AJ145" authorId="0" shapeId="0" xr:uid="{00000000-0006-0000-0000-00001E000000}">
      <text>
        <r>
          <rPr>
            <b/>
            <sz val="9"/>
            <color indexed="81"/>
            <rFont val="Tahoma"/>
            <family val="2"/>
          </rPr>
          <t>Deductions in respect of rents paid :</t>
        </r>
        <r>
          <rPr>
            <sz val="9"/>
            <color indexed="81"/>
            <rFont val="Tahoma"/>
            <family val="2"/>
          </rPr>
          <t xml:space="preserve">
</t>
        </r>
        <r>
          <rPr>
            <b/>
            <sz val="9"/>
            <color indexed="81"/>
            <rFont val="Tahoma"/>
            <family val="2"/>
          </rPr>
          <t>134.</t>
        </r>
        <r>
          <rPr>
            <sz val="9"/>
            <color indexed="81"/>
            <rFont val="Tahoma"/>
            <family val="2"/>
          </rPr>
          <t xml:space="preserve"> (1) In computing the total income of an assessee, subject to other provisions of this section, there shall be deducted any expenditure incurred by him towards </t>
        </r>
        <r>
          <rPr>
            <b/>
            <sz val="9"/>
            <color indexed="81"/>
            <rFont val="Tahoma"/>
            <family val="2"/>
          </rPr>
          <t>payment of rent</t>
        </r>
        <r>
          <rPr>
            <sz val="9"/>
            <color indexed="81"/>
            <rFont val="Tahoma"/>
            <family val="2"/>
          </rPr>
          <t xml:space="preserve"> (by whatever name called) in respect of any furnished or unfurnished accommodation occupied by him for the </t>
        </r>
        <r>
          <rPr>
            <b/>
            <sz val="9"/>
            <color indexed="81"/>
            <rFont val="Tahoma"/>
            <family val="2"/>
          </rPr>
          <t>purposes of his own residence</t>
        </r>
        <r>
          <rPr>
            <sz val="9"/>
            <color indexed="81"/>
            <rFont val="Tahoma"/>
            <family val="2"/>
          </rPr>
          <t xml:space="preserve">.
(2) The deduction under sub-section (1) shall be allowable on such rent exceeding </t>
        </r>
        <r>
          <rPr>
            <b/>
            <sz val="9"/>
            <color indexed="81"/>
            <rFont val="Tahoma"/>
            <family val="2"/>
          </rPr>
          <t>10% of his total income</t>
        </r>
        <r>
          <rPr>
            <sz val="9"/>
            <color indexed="81"/>
            <rFont val="Tahoma"/>
            <family val="2"/>
          </rPr>
          <t xml:space="preserve">, subject to a maximum of </t>
        </r>
        <r>
          <rPr>
            <b/>
            <sz val="9"/>
            <color indexed="81"/>
            <rFont val="Tahoma"/>
            <family val="2"/>
          </rPr>
          <t>five thousand rupees per month</t>
        </r>
        <r>
          <rPr>
            <sz val="9"/>
            <color indexed="81"/>
            <rFont val="Tahoma"/>
            <family val="2"/>
          </rPr>
          <t xml:space="preserve">, or </t>
        </r>
        <r>
          <rPr>
            <b/>
            <sz val="9"/>
            <color indexed="81"/>
            <rFont val="Tahoma"/>
            <family val="2"/>
          </rPr>
          <t>25% of total income for tax year</t>
        </r>
        <r>
          <rPr>
            <sz val="9"/>
            <color indexed="81"/>
            <rFont val="Tahoma"/>
            <family val="2"/>
          </rPr>
          <t xml:space="preserve">, whichever </t>
        </r>
        <r>
          <rPr>
            <b/>
            <sz val="9"/>
            <color indexed="81"/>
            <rFont val="Tahoma"/>
            <family val="2"/>
          </rPr>
          <t>is less</t>
        </r>
        <r>
          <rPr>
            <sz val="9"/>
            <color indexed="81"/>
            <rFont val="Tahoma"/>
            <family val="2"/>
          </rPr>
          <t xml:space="preserve">.
(3) For the purposes of deduction under sub-section (1), such other conditions or limitations having regard to the area or place in which such accommodation is situated and other relevant consideration, as prescribed, shall be taken into account.
(4) </t>
        </r>
        <r>
          <rPr>
            <b/>
            <sz val="9"/>
            <color indexed="81"/>
            <rFont val="Tahoma"/>
            <family val="2"/>
          </rPr>
          <t>No deduction under this section</t>
        </r>
        <r>
          <rPr>
            <sz val="9"/>
            <color indexed="81"/>
            <rFont val="Tahoma"/>
            <family val="2"/>
          </rPr>
          <t xml:space="preserve"> shall be allowed to an assessee in any case, where—
(a) </t>
        </r>
        <r>
          <rPr>
            <b/>
            <sz val="9"/>
            <color indexed="81"/>
            <rFont val="Tahoma"/>
            <family val="2"/>
          </rPr>
          <t>any residential accommodation</t>
        </r>
        <r>
          <rPr>
            <sz val="9"/>
            <color indexed="81"/>
            <rFont val="Tahoma"/>
            <family val="2"/>
          </rPr>
          <t xml:space="preserve"> is—
(i) owned by the assessee or by his spouse or minor child or, where such assessee is a member of a Hindu undivided family, by such family at the place where he ordinarily resides or performs duties of his office or employment or carries on his business or profession; or
(ii) owned by the assessee at any other place, being accommodation in the occupation of the assessee, the value of which is to be determined under section 21(6) or (7)(a); or
(b) the assessee has any income falling in Schedule III (Table: Sl. No. 11).
(5) For the purposes of this section, the expressions “10% of his total income” and “25% of his total income” shall mean 10% or 25%, as the case may be, of the total income of the assessee before allowing deduction for any expenditure under this section.</t>
        </r>
      </text>
    </comment>
    <comment ref="AJ147" authorId="0" shapeId="0" xr:uid="{887896C0-852B-436F-8C79-084363C5647A}">
      <text>
        <r>
          <rPr>
            <b/>
            <sz val="9"/>
            <color indexed="81"/>
            <rFont val="Tahoma"/>
            <family val="2"/>
          </rPr>
          <t>Deduction in respect of certain donations for scientific research or rural development.</t>
        </r>
        <r>
          <rPr>
            <sz val="9"/>
            <color indexed="81"/>
            <rFont val="Tahoma"/>
            <family val="2"/>
          </rPr>
          <t xml:space="preserve">
</t>
        </r>
        <r>
          <rPr>
            <b/>
            <sz val="9"/>
            <color indexed="81"/>
            <rFont val="Tahoma"/>
            <family val="2"/>
          </rPr>
          <t>135.</t>
        </r>
        <r>
          <rPr>
            <sz val="9"/>
            <color indexed="81"/>
            <rFont val="Tahoma"/>
            <family val="2"/>
          </rPr>
          <t xml:space="preserve"> (1) In computing the total income of an assessee, there shall be deducted, as per the provisions of this section, </t>
        </r>
        <r>
          <rPr>
            <b/>
            <sz val="9"/>
            <color indexed="81"/>
            <rFont val="Tahoma"/>
            <family val="2"/>
          </rPr>
          <t>any sum paid</t>
        </r>
        <r>
          <rPr>
            <sz val="9"/>
            <color indexed="81"/>
            <rFont val="Tahoma"/>
            <family val="2"/>
          </rPr>
          <t xml:space="preserve"> by the assessee in the tax year to,––
(a) a research association which has as its object the undertaking of scientific research, or to a University, college or other institution approved for the purposes of section 45(3)(a)(i) to be used for scientific research;
(b) a research association which has as its object the undertaking of research in social science or statistical research, or to a University, college or other institution approved for the purposes of section 45(3)(a)(ii) to be used for research in social science or statistical research;
(2) Deduction for contributions made as per sub-section (1) shall not be allowed, if—
(a) the gross total income of the assessee includes income which is chargeable under the head “Profits and gains of business or profession”; or
(b) the contribution is made in </t>
        </r>
        <r>
          <rPr>
            <b/>
            <sz val="9"/>
            <color indexed="81"/>
            <rFont val="Tahoma"/>
            <family val="2"/>
          </rPr>
          <t>cash</t>
        </r>
        <r>
          <rPr>
            <sz val="9"/>
            <color indexed="81"/>
            <rFont val="Tahoma"/>
            <family val="2"/>
          </rPr>
          <t xml:space="preserve"> exceeding </t>
        </r>
        <r>
          <rPr>
            <b/>
            <sz val="9"/>
            <color indexed="81"/>
            <rFont val="Tahoma"/>
            <family val="2"/>
          </rPr>
          <t>two thousand rupees</t>
        </r>
        <r>
          <rPr>
            <sz val="9"/>
            <color indexed="81"/>
            <rFont val="Tahoma"/>
            <family val="2"/>
          </rPr>
          <t>.
(3) Deduction under sub-section (1)(a) and (1)(b) shall not be denied merely on the ground that subsequent to the payment of such sum by the assessee, approval to such association, University, college, other institution referred there in to whom the payment was made has been withdrawn.
(4) The claim of the assessee for a deduction in respect of any sum referred to in sub-section (1) in the return of income for any tax year filed by him, shall be allowed on the basis of information relating to such sum furnished by the payee to the prescribed income-tax authority or the person authorised by such authority, subject to verification as per the risk management strategy formulated by the Board from time to time.</t>
        </r>
      </text>
    </comment>
    <comment ref="AJ149" authorId="0" shapeId="0" xr:uid="{E30A6B3A-130B-4D2D-820D-1525B6D397E9}">
      <text>
        <r>
          <rPr>
            <b/>
            <sz val="9"/>
            <color indexed="81"/>
            <rFont val="Tahoma"/>
            <family val="2"/>
          </rPr>
          <t>Deduction in respect of contributions given by any person to political parties.</t>
        </r>
        <r>
          <rPr>
            <sz val="9"/>
            <color indexed="81"/>
            <rFont val="Tahoma"/>
            <family val="2"/>
          </rPr>
          <t xml:space="preserve">
</t>
        </r>
        <r>
          <rPr>
            <b/>
            <sz val="9"/>
            <color indexed="81"/>
            <rFont val="Tahoma"/>
            <family val="2"/>
          </rPr>
          <t>137</t>
        </r>
        <r>
          <rPr>
            <sz val="9"/>
            <color indexed="81"/>
            <rFont val="Tahoma"/>
            <family val="2"/>
          </rPr>
          <t xml:space="preserve">. An assessee, (other than a local authority and an artificial juridical person wholly or partly funded by the Government), shall be allowed a deduction for the </t>
        </r>
        <r>
          <rPr>
            <b/>
            <sz val="9"/>
            <color indexed="81"/>
            <rFont val="Tahoma"/>
            <family val="2"/>
          </rPr>
          <t>amount contributed by him</t>
        </r>
        <r>
          <rPr>
            <sz val="9"/>
            <color indexed="81"/>
            <rFont val="Tahoma"/>
            <family val="2"/>
          </rPr>
          <t xml:space="preserve">, </t>
        </r>
        <r>
          <rPr>
            <b/>
            <sz val="9"/>
            <color indexed="81"/>
            <rFont val="Tahoma"/>
            <family val="2"/>
          </rPr>
          <t>other than by way of cash</t>
        </r>
        <r>
          <rPr>
            <sz val="9"/>
            <color indexed="81"/>
            <rFont val="Tahoma"/>
            <family val="2"/>
          </rPr>
          <t xml:space="preserve">, during a tax year to a political party registered under section 29A of the Representation of the People Act, 1951, or an electoral trust.
</t>
        </r>
      </text>
    </comment>
    <comment ref="AJ151" authorId="0" shapeId="0" xr:uid="{003F698E-B819-493E-B796-3B83C27F3079}">
      <text>
        <r>
          <rPr>
            <b/>
            <sz val="9"/>
            <color indexed="81"/>
            <rFont val="Tahoma"/>
            <family val="2"/>
          </rPr>
          <t xml:space="preserve">Deduction in respect of royalty income, etc., of authors of certain books other than text-books:
</t>
        </r>
        <r>
          <rPr>
            <sz val="9"/>
            <color indexed="81"/>
            <rFont val="Tahoma"/>
            <family val="2"/>
          </rPr>
          <t xml:space="preserve">
</t>
        </r>
        <r>
          <rPr>
            <b/>
            <sz val="9"/>
            <color indexed="81"/>
            <rFont val="Tahoma"/>
            <family val="2"/>
          </rPr>
          <t>151.</t>
        </r>
        <r>
          <rPr>
            <sz val="9"/>
            <color indexed="81"/>
            <rFont val="Tahoma"/>
            <family val="2"/>
          </rPr>
          <t xml:space="preserve"> (1) Where, in the case of an individual resident in India, </t>
        </r>
        <r>
          <rPr>
            <b/>
            <sz val="9"/>
            <color indexed="81"/>
            <rFont val="Tahoma"/>
            <family val="2"/>
          </rPr>
          <t>being an author</t>
        </r>
        <r>
          <rPr>
            <sz val="9"/>
            <color indexed="81"/>
            <rFont val="Tahoma"/>
            <family val="2"/>
          </rPr>
          <t xml:space="preserve">, the gross </t>
        </r>
        <r>
          <rPr>
            <b/>
            <sz val="9"/>
            <color indexed="81"/>
            <rFont val="Tahoma"/>
            <family val="2"/>
          </rPr>
          <t>total income includes any income</t>
        </r>
        <r>
          <rPr>
            <sz val="9"/>
            <color indexed="81"/>
            <rFont val="Tahoma"/>
            <family val="2"/>
          </rPr>
          <t xml:space="preserve">, derived by him in the exercise of his profession, on account of any lump sum consideration for the </t>
        </r>
        <r>
          <rPr>
            <b/>
            <sz val="9"/>
            <color indexed="81"/>
            <rFont val="Tahoma"/>
            <family val="2"/>
          </rPr>
          <t>assignment or grant of any of his interests in the copyright of any book being a work of literary, artistic or scientific nature, or of royalty or copyright fees</t>
        </r>
        <r>
          <rPr>
            <sz val="9"/>
            <color indexed="81"/>
            <rFont val="Tahoma"/>
            <family val="2"/>
          </rPr>
          <t xml:space="preserve"> (whether receivable in lump sum or otherwise) in respect of such book, there shall, as per and subject to the provisions of this section, be allowed, in computing the total income of the assessee, a deduction from such income, computed in the manner specified in sub-section (2).
(2) The deduction under this section </t>
        </r>
        <r>
          <rPr>
            <b/>
            <sz val="9"/>
            <color indexed="81"/>
            <rFont val="Tahoma"/>
            <family val="2"/>
          </rPr>
          <t>shall be equal to the whole of such income</t>
        </r>
        <r>
          <rPr>
            <sz val="9"/>
            <color indexed="81"/>
            <rFont val="Tahoma"/>
            <family val="2"/>
          </rPr>
          <t xml:space="preserve"> referred to in sub-section (1), or </t>
        </r>
        <r>
          <rPr>
            <b/>
            <sz val="9"/>
            <color indexed="81"/>
            <rFont val="Tahoma"/>
            <family val="2"/>
          </rPr>
          <t>an amount of three lakh rupees</t>
        </r>
        <r>
          <rPr>
            <sz val="9"/>
            <color indexed="81"/>
            <rFont val="Tahoma"/>
            <family val="2"/>
          </rPr>
          <t xml:space="preserve">, whichever is less.
(3) Where the income by way of </t>
        </r>
        <r>
          <rPr>
            <b/>
            <sz val="9"/>
            <color indexed="81"/>
            <rFont val="Tahoma"/>
            <family val="2"/>
          </rPr>
          <t>such royalty or the copyright fee</t>
        </r>
        <r>
          <rPr>
            <sz val="9"/>
            <color indexed="81"/>
            <rFont val="Tahoma"/>
            <family val="2"/>
          </rPr>
          <t>, is not a lump sum consideration in lieu of all rights of the assessee in the book, so much of the income, before allowing expenses attributable to such income, a</t>
        </r>
        <r>
          <rPr>
            <b/>
            <sz val="9"/>
            <color indexed="81"/>
            <rFont val="Tahoma"/>
            <family val="2"/>
          </rPr>
          <t>s is in excess of 15% of the value</t>
        </r>
        <r>
          <rPr>
            <sz val="9"/>
            <color indexed="81"/>
            <rFont val="Tahoma"/>
            <family val="2"/>
          </rPr>
          <t xml:space="preserve"> of such books sold during the tax year </t>
        </r>
        <r>
          <rPr>
            <b/>
            <sz val="9"/>
            <color indexed="81"/>
            <rFont val="Tahoma"/>
            <family val="2"/>
          </rPr>
          <t>shall be ignored</t>
        </r>
        <r>
          <rPr>
            <sz val="9"/>
            <color indexed="81"/>
            <rFont val="Tahoma"/>
            <family val="2"/>
          </rPr>
          <t xml:space="preserve">.
(4) In respect of any income earned from any source outside India, so much of the income shall be taken into account for the purpose of this section as is brought into India by, or on behalf of, the assessee in convertible foreign exchange within six months from the end of the tax year in which such income is earned or within such further period as the competent authority may allow in this behalf.
(5) Deduction under this section </t>
        </r>
        <r>
          <rPr>
            <b/>
            <sz val="9"/>
            <color indexed="81"/>
            <rFont val="Tahoma"/>
            <family val="2"/>
          </rPr>
          <t>shall not be allowed unless the assessee furnishes a certificate in such form and manner, as prescribed, duly verified by any person responsible for making such payment to the assessee as referred to in sub-section (1), along with the return of income, setting forth such particulars, as prescribed</t>
        </r>
        <r>
          <rPr>
            <sz val="9"/>
            <color indexed="81"/>
            <rFont val="Tahoma"/>
            <family val="2"/>
          </rPr>
          <t xml:space="preserve">.
(6) Deduction under this section shall not be allowed in respect of any income earned from any source outside India, unless the assessee furnishes a certificate, in the prescribed form from the prescribed authority, along with the return of income in the prescribed manner.
(7) Where a deduction for any tax year has been claimed and allowed in respect of any income referred to in this section, no deduction in respect of such income shall be allowed under any other provision of this Act in any tax year.
(8) In this section,—
(a) </t>
        </r>
        <r>
          <rPr>
            <b/>
            <sz val="9"/>
            <color indexed="81"/>
            <rFont val="Tahoma"/>
            <family val="2"/>
          </rPr>
          <t>“author”</t>
        </r>
        <r>
          <rPr>
            <sz val="9"/>
            <color indexed="81"/>
            <rFont val="Tahoma"/>
            <family val="2"/>
          </rPr>
          <t xml:space="preserve"> includes a</t>
        </r>
        <r>
          <rPr>
            <b/>
            <sz val="9"/>
            <color indexed="81"/>
            <rFont val="Tahoma"/>
            <family val="2"/>
          </rPr>
          <t xml:space="preserve"> joint author</t>
        </r>
        <r>
          <rPr>
            <sz val="9"/>
            <color indexed="81"/>
            <rFont val="Tahoma"/>
            <family val="2"/>
          </rPr>
          <t xml:space="preserve">;
(b) </t>
        </r>
        <r>
          <rPr>
            <b/>
            <sz val="9"/>
            <color indexed="81"/>
            <rFont val="Tahoma"/>
            <family val="2"/>
          </rPr>
          <t>“books”</t>
        </r>
        <r>
          <rPr>
            <sz val="9"/>
            <color indexed="81"/>
            <rFont val="Tahoma"/>
            <family val="2"/>
          </rPr>
          <t xml:space="preserve"> </t>
        </r>
        <r>
          <rPr>
            <b/>
            <sz val="9"/>
            <color indexed="81"/>
            <rFont val="Tahoma"/>
            <family val="2"/>
          </rPr>
          <t>shall not include</t>
        </r>
        <r>
          <rPr>
            <sz val="9"/>
            <color indexed="81"/>
            <rFont val="Tahoma"/>
            <family val="2"/>
          </rPr>
          <t xml:space="preserve"> </t>
        </r>
        <r>
          <rPr>
            <b/>
            <sz val="9"/>
            <color indexed="81"/>
            <rFont val="Tahoma"/>
            <family val="2"/>
          </rPr>
          <t>brochures, commentaries, diaries, guides, journals, magazines, newspapers, pamphlets, text-books for schools, tracts and other publications of similar nature</t>
        </r>
        <r>
          <rPr>
            <sz val="9"/>
            <color indexed="81"/>
            <rFont val="Tahoma"/>
            <family val="2"/>
          </rPr>
          <t>, by whatever name called;
(c) “competent authority” means the Reserve Bank of India or such other authority as is authorised under any law in force for regulating payments and dealings in foreign exchange; and
(d) “lump sum”, in regard to royalties or copyright fees, includes an advance payment on account of such royalties or copyright fees which is not returnable.</t>
        </r>
      </text>
    </comment>
    <comment ref="AJ153" authorId="0" shapeId="0" xr:uid="{79EF7031-C95B-41E8-8E15-79D92B7FE0A8}">
      <text>
        <r>
          <rPr>
            <b/>
            <sz val="9"/>
            <color indexed="81"/>
            <rFont val="Tahoma"/>
            <family val="2"/>
          </rPr>
          <t xml:space="preserve">Deduction in respect of royalty on patents:
</t>
        </r>
        <r>
          <rPr>
            <sz val="9"/>
            <color indexed="81"/>
            <rFont val="Tahoma"/>
            <family val="2"/>
          </rPr>
          <t xml:space="preserve">
</t>
        </r>
        <r>
          <rPr>
            <b/>
            <sz val="9"/>
            <color indexed="81"/>
            <rFont val="Tahoma"/>
            <family val="2"/>
          </rPr>
          <t>152.</t>
        </r>
        <r>
          <rPr>
            <sz val="9"/>
            <color indexed="81"/>
            <rFont val="Tahoma"/>
            <family val="2"/>
          </rPr>
          <t xml:space="preserve"> (1) An assessee, being an individual, who is––
(a) a resident in India;
(b) a patentee;
(c) in receipt of income by way of </t>
        </r>
        <r>
          <rPr>
            <b/>
            <sz val="9"/>
            <color indexed="81"/>
            <rFont val="Tahoma"/>
            <family val="2"/>
          </rPr>
          <t>royalty in respect of a patent</t>
        </r>
        <r>
          <rPr>
            <sz val="9"/>
            <color indexed="81"/>
            <rFont val="Tahoma"/>
            <family val="2"/>
          </rPr>
          <t xml:space="preserve"> registered on or</t>
        </r>
        <r>
          <rPr>
            <b/>
            <sz val="9"/>
            <color indexed="81"/>
            <rFont val="Tahoma"/>
            <family val="2"/>
          </rPr>
          <t xml:space="preserve"> after the 1st April, 2003</t>
        </r>
        <r>
          <rPr>
            <sz val="9"/>
            <color indexed="81"/>
            <rFont val="Tahoma"/>
            <family val="2"/>
          </rPr>
          <t xml:space="preserve"> under the Patents Act, 1970; and.
(d) having </t>
        </r>
        <r>
          <rPr>
            <b/>
            <sz val="9"/>
            <color indexed="81"/>
            <rFont val="Tahoma"/>
            <family val="2"/>
          </rPr>
          <t>gross total income</t>
        </r>
        <r>
          <rPr>
            <sz val="9"/>
            <color indexed="81"/>
            <rFont val="Tahoma"/>
            <family val="2"/>
          </rPr>
          <t xml:space="preserve"> for the tax year which includes </t>
        </r>
        <r>
          <rPr>
            <b/>
            <sz val="9"/>
            <color indexed="81"/>
            <rFont val="Tahoma"/>
            <family val="2"/>
          </rPr>
          <t xml:space="preserve">royalty,
</t>
        </r>
        <r>
          <rPr>
            <sz val="9"/>
            <color indexed="81"/>
            <rFont val="Tahoma"/>
            <family val="2"/>
          </rPr>
          <t xml:space="preserve">
shall be allowed a deduction from such income computed in the manner specified in sub-sections (2) to (6).
(2) The deduction under this section shall be </t>
        </r>
        <r>
          <rPr>
            <b/>
            <sz val="9"/>
            <color indexed="81"/>
            <rFont val="Tahoma"/>
            <family val="2"/>
          </rPr>
          <t xml:space="preserve">equal to the whole of such income </t>
        </r>
        <r>
          <rPr>
            <sz val="9"/>
            <color indexed="81"/>
            <rFont val="Tahoma"/>
            <family val="2"/>
          </rPr>
          <t xml:space="preserve">referred to in sub-section (1) or </t>
        </r>
        <r>
          <rPr>
            <b/>
            <sz val="9"/>
            <color indexed="81"/>
            <rFont val="Tahoma"/>
            <family val="2"/>
          </rPr>
          <t>three lakh rupees</t>
        </r>
        <r>
          <rPr>
            <sz val="9"/>
            <color indexed="81"/>
            <rFont val="Tahoma"/>
            <family val="2"/>
          </rPr>
          <t>, whichever is less.
(3) Where a compulsory licence is granted in respect of any patent under the Patents Act, 1970, the income by way of royalty for the purpose of allowing deduction under this section shall not exceed the amount of royalty under the terms and conditions of a licence settled by the Controller under that Act.
(4) In respect of any income earned from any source outside India, so much of the income, shall be taken into account for the purpose of this section as is brought into India by, or on behalf of, the assessee in convertible foreign exchange within six months from the end of the tax year in which such income is earned or within such further period as the competent authority referred to in section 151(8)(c) may allow in this behalf.
(5) N</t>
        </r>
        <r>
          <rPr>
            <b/>
            <sz val="9"/>
            <color indexed="81"/>
            <rFont val="Tahoma"/>
            <family val="2"/>
          </rPr>
          <t>o deduction under this section shall be allowed unless the assessee furnishes a certificate in the prescribed form, duly signed by the authority as prescribed, along with the return of income setting forth such particulars, as prescribed.</t>
        </r>
        <r>
          <rPr>
            <sz val="9"/>
            <color indexed="81"/>
            <rFont val="Tahoma"/>
            <family val="2"/>
          </rPr>
          <t xml:space="preserve">
(6) No deduction under this section shall be allowed in respect of any income earned from any source outside India, unless the assessee furnishes a certificate in such form, from the authority or authorities, as prescribed, along with the return of income.
(7) In this section,––
(a) “Controller” means the authority as defined in section 2(1)(b) of the Patents Act, 1970;
(b) “lump sum” includes a non-refundable advance payment for royalties;
(c) “patent” means any patent granted, including a patent of addition, under the Patents Act, 1970;
(d) “patentee” means the true and first inventor recorded as the patentee under the Patents Act, 1970, including joint patentees recorded as such true and first inventors;
(e) “patent of addition” shall have the same meaning as assigned to it in section 2(1)(q) of the Patents Act, 1970;
(f) “patented article” and “patented process” shall have the same meanings as assigned to them in section 2(1)(o) of the Patents Act, 1970;
(g) “royalty” in respect of a patent, means consideration for—
(i) the transfer of all or any rights (including the granting of a licence) in respect of a patent; or
(ii) the imparting of any information concerning the working of, or the use of, a patent; or
(iii) the use of any patent; or
(iv) the rendering of any services in connection with the activities referred to in sub-clauses (i) to (iii), but does not include any consideration,––
(A) which would be the income of the recipient chargeable under the head “Capital gains”; or
(B) for sale of product manufactured with the use of patented process or of the patented article for commercial use; and
(h) “true and first inventor” shall have the same meaning as assigned to it in section 2(1)(y) of the Patents Act, 1970.</t>
        </r>
      </text>
    </comment>
    <comment ref="AV155" authorId="0" shapeId="0" xr:uid="{00000000-0006-0000-0000-00001F000000}">
      <text>
        <r>
          <rPr>
            <b/>
            <sz val="9"/>
            <color indexed="81"/>
            <rFont val="Tahoma"/>
            <family val="2"/>
          </rPr>
          <t xml:space="preserve">Deduction for interest on deposits:
153. </t>
        </r>
        <r>
          <rPr>
            <sz val="9"/>
            <color indexed="81"/>
            <rFont val="Tahoma"/>
            <family val="2"/>
          </rPr>
          <t xml:space="preserve">(1) An assessee who is––
(a) </t>
        </r>
        <r>
          <rPr>
            <b/>
            <sz val="9"/>
            <color indexed="81"/>
            <rFont val="Tahoma"/>
            <family val="2"/>
          </rPr>
          <t>an individual, not being a senior citizen</t>
        </r>
        <r>
          <rPr>
            <sz val="9"/>
            <color indexed="81"/>
            <rFont val="Tahoma"/>
            <family val="2"/>
          </rPr>
          <t xml:space="preserve">; or
(b) an individual, being a senior citizen; or
(c) a Hindu undivided family,
shall be allowed a deduction from the gross total income, subject to conditions specified in sub-section (2), where it includes income by </t>
        </r>
        <r>
          <rPr>
            <b/>
            <sz val="9"/>
            <color indexed="81"/>
            <rFont val="Tahoma"/>
            <family val="2"/>
          </rPr>
          <t>way of interest on deposits</t>
        </r>
        <r>
          <rPr>
            <sz val="9"/>
            <color indexed="81"/>
            <rFont val="Tahoma"/>
            <family val="2"/>
          </rPr>
          <t xml:space="preserve"> with––
(i) a </t>
        </r>
        <r>
          <rPr>
            <b/>
            <sz val="9"/>
            <color indexed="81"/>
            <rFont val="Tahoma"/>
            <family val="2"/>
          </rPr>
          <t>banking company</t>
        </r>
        <r>
          <rPr>
            <sz val="9"/>
            <color indexed="81"/>
            <rFont val="Tahoma"/>
            <family val="2"/>
          </rPr>
          <t xml:space="preserve"> to which the Banking Regulation Act, 1949, applies (including any bank or banking institution referred to in section 51 of that Act); or
(ii) a</t>
        </r>
        <r>
          <rPr>
            <b/>
            <sz val="9"/>
            <color indexed="81"/>
            <rFont val="Tahoma"/>
            <family val="2"/>
          </rPr>
          <t xml:space="preserve"> co-operative society </t>
        </r>
        <r>
          <rPr>
            <sz val="9"/>
            <color indexed="81"/>
            <rFont val="Tahoma"/>
            <family val="2"/>
          </rPr>
          <t xml:space="preserve">engaged in carrying on the business of banking (including a co-operative land mortgage bank or a co-operative land development bank); or
(iii) a </t>
        </r>
        <r>
          <rPr>
            <b/>
            <sz val="9"/>
            <color indexed="81"/>
            <rFont val="Tahoma"/>
            <family val="2"/>
          </rPr>
          <t xml:space="preserve">Post Office </t>
        </r>
        <r>
          <rPr>
            <sz val="9"/>
            <color indexed="81"/>
            <rFont val="Tahoma"/>
            <family val="2"/>
          </rPr>
          <t>as defined in section 2(k) of the Post Office Act, 2023.
(2) The deduction under sub-section (1)</t>
        </r>
        <r>
          <rPr>
            <b/>
            <sz val="9"/>
            <color indexed="81"/>
            <rFont val="Tahoma"/>
            <family val="2"/>
          </rPr>
          <t xml:space="preserve"> shall be allowed</t>
        </r>
        <r>
          <rPr>
            <sz val="9"/>
            <color indexed="81"/>
            <rFont val="Tahoma"/>
            <family val="2"/>
          </rPr>
          <t xml:space="preserve"> for a tax year as follows:—
(a) in case of assessee mentioned in sub-section 1(a) or (c), the</t>
        </r>
        <r>
          <rPr>
            <b/>
            <sz val="9"/>
            <color indexed="81"/>
            <rFont val="Tahoma"/>
            <family val="2"/>
          </rPr>
          <t xml:space="preserve"> whole of the interest up to a maximum amount of ten thousand rupees </t>
        </r>
        <r>
          <rPr>
            <sz val="9"/>
            <color indexed="81"/>
            <rFont val="Tahoma"/>
            <family val="2"/>
          </rPr>
          <t>on deposits in</t>
        </r>
        <r>
          <rPr>
            <b/>
            <sz val="9"/>
            <color indexed="81"/>
            <rFont val="Tahoma"/>
            <family val="2"/>
          </rPr>
          <t xml:space="preserve"> a savings account</t>
        </r>
        <r>
          <rPr>
            <sz val="9"/>
            <color indexed="81"/>
            <rFont val="Tahoma"/>
            <family val="2"/>
          </rPr>
          <t xml:space="preserve">, </t>
        </r>
        <r>
          <rPr>
            <b/>
            <sz val="9"/>
            <color indexed="81"/>
            <rFont val="Tahoma"/>
            <family val="2"/>
          </rPr>
          <t>excluding time deposits</t>
        </r>
        <r>
          <rPr>
            <sz val="9"/>
            <color indexed="81"/>
            <rFont val="Tahoma"/>
            <family val="2"/>
          </rPr>
          <t xml:space="preserve">;
(b) in case of assessee mentioned in sub-section (1)(b), the whole of the interest up to a maximum amount of fifty thousand rupess on deposits in a savings account, including time deposits.
(3) Where the income referred to in this section is derived from any deposit in a savings account held by, or on behalf of, a firm, an association of persons or a body of individuals, no deduction shall be allowed under this section in respect of such income in computing the total income of any partner of the firm or any member of the association or any individual of the body.
(4) In this section, “time deposits” means the deposits repayable on expiry of fixed periods.
</t>
        </r>
      </text>
    </comment>
    <comment ref="AJ157" authorId="0" shapeId="0" xr:uid="{88DFF2D3-D9A3-45D1-9584-BBB32FEA6F67}">
      <text>
        <r>
          <rPr>
            <b/>
            <sz val="9"/>
            <color indexed="81"/>
            <rFont val="Tahoma"/>
            <family val="2"/>
          </rPr>
          <t>Deduction in case of a person with disability.:</t>
        </r>
        <r>
          <rPr>
            <sz val="9"/>
            <color indexed="81"/>
            <rFont val="Tahoma"/>
            <family val="2"/>
          </rPr>
          <t xml:space="preserve">
</t>
        </r>
        <r>
          <rPr>
            <b/>
            <sz val="9"/>
            <color indexed="81"/>
            <rFont val="Tahoma"/>
            <family val="2"/>
          </rPr>
          <t>154.</t>
        </r>
        <r>
          <rPr>
            <sz val="9"/>
            <color indexed="81"/>
            <rFont val="Tahoma"/>
            <family val="2"/>
          </rPr>
          <t xml:space="preserve"> (1) An individual, being resident in India, who is certified by a medical authority, at any time during the tax year, </t>
        </r>
        <r>
          <rPr>
            <b/>
            <sz val="9"/>
            <color indexed="81"/>
            <rFont val="Tahoma"/>
            <family val="2"/>
          </rPr>
          <t>as a person with disability</t>
        </r>
        <r>
          <rPr>
            <sz val="9"/>
            <color indexed="81"/>
            <rFont val="Tahoma"/>
            <family val="2"/>
          </rPr>
          <t xml:space="preserve"> or </t>
        </r>
        <r>
          <rPr>
            <b/>
            <sz val="9"/>
            <color indexed="81"/>
            <rFont val="Tahoma"/>
            <family val="2"/>
          </rPr>
          <t>person with severe disability</t>
        </r>
        <r>
          <rPr>
            <sz val="9"/>
            <color indexed="81"/>
            <rFont val="Tahoma"/>
            <family val="2"/>
          </rPr>
          <t xml:space="preserve">, shall be allowed a deduction of </t>
        </r>
        <r>
          <rPr>
            <b/>
            <sz val="9"/>
            <color indexed="81"/>
            <rFont val="Tahoma"/>
            <family val="2"/>
          </rPr>
          <t>seventy-five thousand rupees</t>
        </r>
        <r>
          <rPr>
            <sz val="9"/>
            <color indexed="81"/>
            <rFont val="Tahoma"/>
            <family val="2"/>
          </rPr>
          <t xml:space="preserve"> or </t>
        </r>
        <r>
          <rPr>
            <b/>
            <sz val="9"/>
            <color indexed="81"/>
            <rFont val="Tahoma"/>
            <family val="2"/>
          </rPr>
          <t>one lakh and twenty-five thousand rupees</t>
        </r>
        <r>
          <rPr>
            <sz val="9"/>
            <color indexed="81"/>
            <rFont val="Tahoma"/>
            <family val="2"/>
          </rPr>
          <t xml:space="preserve">, respectively, while computing his total income.
(2) The deduction under sub-section (1) shall be allowed only if all of the following conditions are fulfilled:––
(a) </t>
        </r>
        <r>
          <rPr>
            <b/>
            <sz val="9"/>
            <color indexed="81"/>
            <rFont val="Tahoma"/>
            <family val="2"/>
          </rPr>
          <t>the individual furnishes a copy of the certificate issued by the medical authority</t>
        </r>
        <r>
          <rPr>
            <sz val="9"/>
            <color indexed="81"/>
            <rFont val="Tahoma"/>
            <family val="2"/>
          </rPr>
          <t xml:space="preserve">;
(b) if the certificate specifies that the disability needs reassessment of its extent after a period stipulated in it, the deduction shall not be allowed for any tax year succeeding the tax year in which the certificate expires, unless </t>
        </r>
        <r>
          <rPr>
            <b/>
            <sz val="9"/>
            <color indexed="81"/>
            <rFont val="Tahoma"/>
            <family val="2"/>
          </rPr>
          <t>a new disability certificate is obtained</t>
        </r>
        <r>
          <rPr>
            <sz val="9"/>
            <color indexed="81"/>
            <rFont val="Tahoma"/>
            <family val="2"/>
          </rPr>
          <t xml:space="preserve"> and submitted; and
(c) the certificate referred to in clauses (a) and (b) of this sub-section shall be furnished in the form and manner, as prescribed, along with the return of income under section 263 for the tax year in which the deduction is claimed.
(3) </t>
        </r>
        <r>
          <rPr>
            <b/>
            <sz val="9"/>
            <color indexed="81"/>
            <rFont val="Tahoma"/>
            <family val="2"/>
          </rPr>
          <t>For the purposes of this section, “disability”, “medical authority”, “person with disability” or “person with severe disability” shall have the same meanings as provided in section 127.</t>
        </r>
      </text>
    </comment>
    <comment ref="AV159" authorId="0" shapeId="0" xr:uid="{D963E4E0-C4B7-49BD-86FC-23C7DF2132D8}">
      <text>
        <r>
          <rPr>
            <b/>
            <sz val="9"/>
            <color indexed="81"/>
            <rFont val="Tahoma"/>
            <family val="2"/>
          </rPr>
          <t>121:</t>
        </r>
        <r>
          <rPr>
            <sz val="9"/>
            <color indexed="81"/>
            <rFont val="Tahoma"/>
            <family val="2"/>
          </rPr>
          <t xml:space="preserve">
(2) The aggregate amount of the deductions under this Chapter shall not, in any case, exceed the gross total income of the assessee.</t>
        </r>
      </text>
    </comment>
    <comment ref="AV161" authorId="0" shapeId="0" xr:uid="{00000000-0006-0000-0000-000020000000}">
      <text>
        <r>
          <rPr>
            <b/>
            <sz val="9"/>
            <color indexed="81"/>
            <rFont val="Tahoma"/>
            <family val="2"/>
          </rPr>
          <t xml:space="preserve">
Rounding off of amount of total income, or tax payable or refundable.:
516. </t>
        </r>
        <r>
          <rPr>
            <sz val="9"/>
            <color indexed="81"/>
            <rFont val="Tahoma"/>
            <family val="2"/>
          </rPr>
          <t xml:space="preserve">The amount of </t>
        </r>
        <r>
          <rPr>
            <b/>
            <sz val="9"/>
            <color indexed="81"/>
            <rFont val="Tahoma"/>
            <family val="2"/>
          </rPr>
          <t xml:space="preserve">total income computed </t>
        </r>
        <r>
          <rPr>
            <sz val="9"/>
            <color indexed="81"/>
            <rFont val="Tahoma"/>
            <family val="2"/>
          </rPr>
          <t xml:space="preserve">or any amount payable or refundable under this Act, shall be </t>
        </r>
        <r>
          <rPr>
            <b/>
            <sz val="9"/>
            <color indexed="81"/>
            <rFont val="Tahoma"/>
            <family val="2"/>
          </rPr>
          <t xml:space="preserve">rounded off to the nearest multiple of ten </t>
        </r>
        <r>
          <rPr>
            <sz val="9"/>
            <color indexed="81"/>
            <rFont val="Tahoma"/>
            <family val="2"/>
          </rPr>
          <t xml:space="preserve">rupees ignoring any part of a rupee consisting of paise and thereafter if such amount is not a multiple of ten, then—
(a) such amount shall be increased to the </t>
        </r>
        <r>
          <rPr>
            <b/>
            <sz val="9"/>
            <color indexed="81"/>
            <rFont val="Tahoma"/>
            <family val="2"/>
          </rPr>
          <t xml:space="preserve">next higher amount </t>
        </r>
        <r>
          <rPr>
            <sz val="9"/>
            <color indexed="81"/>
            <rFont val="Tahoma"/>
            <family val="2"/>
          </rPr>
          <t xml:space="preserve">which is a multiple of </t>
        </r>
        <r>
          <rPr>
            <b/>
            <sz val="9"/>
            <color indexed="81"/>
            <rFont val="Tahoma"/>
            <family val="2"/>
          </rPr>
          <t>ten,</t>
        </r>
        <r>
          <rPr>
            <sz val="9"/>
            <color indexed="81"/>
            <rFont val="Tahoma"/>
            <family val="2"/>
          </rPr>
          <t xml:space="preserve"> if the last figure in that amount is </t>
        </r>
        <r>
          <rPr>
            <b/>
            <sz val="9"/>
            <color indexed="81"/>
            <rFont val="Tahoma"/>
            <family val="2"/>
          </rPr>
          <t>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 xml:space="preserve">which is a multiple of </t>
        </r>
        <r>
          <rPr>
            <b/>
            <sz val="9"/>
            <color indexed="81"/>
            <rFont val="Tahoma"/>
            <family val="2"/>
          </rPr>
          <t>ten,</t>
        </r>
        <r>
          <rPr>
            <sz val="9"/>
            <color indexed="81"/>
            <rFont val="Tahoma"/>
            <family val="2"/>
          </rPr>
          <t xml:space="preserve"> if the last figure is</t>
        </r>
        <r>
          <rPr>
            <b/>
            <sz val="9"/>
            <color indexed="81"/>
            <rFont val="Tahoma"/>
            <family val="2"/>
          </rPr>
          <t xml:space="preserve"> less than five</t>
        </r>
        <r>
          <rPr>
            <sz val="9"/>
            <color indexed="81"/>
            <rFont val="Tahoma"/>
            <family val="2"/>
          </rPr>
          <t>,
and the</t>
        </r>
        <r>
          <rPr>
            <b/>
            <sz val="9"/>
            <color indexed="81"/>
            <rFont val="Tahoma"/>
            <family val="2"/>
          </rPr>
          <t xml:space="preserve"> amount so rounded off </t>
        </r>
        <r>
          <rPr>
            <sz val="9"/>
            <color indexed="81"/>
            <rFont val="Tahoma"/>
            <family val="2"/>
          </rPr>
          <t xml:space="preserve">shall be deemed to be the </t>
        </r>
        <r>
          <rPr>
            <b/>
            <sz val="9"/>
            <color indexed="81"/>
            <rFont val="Tahoma"/>
            <family val="2"/>
          </rPr>
          <t>total income</t>
        </r>
        <r>
          <rPr>
            <sz val="9"/>
            <color indexed="81"/>
            <rFont val="Tahoma"/>
            <family val="2"/>
          </rPr>
          <t xml:space="preserve"> of the assessee or the amount payable and refund due, under this Act.
</t>
        </r>
      </text>
    </comment>
    <comment ref="AV165" authorId="0" shapeId="0" xr:uid="{055D42C5-B74B-4151-AFDB-4915444AE7D7}">
      <text>
        <r>
          <rPr>
            <b/>
            <sz val="9"/>
            <color indexed="81"/>
            <rFont val="Tahoma"/>
            <family val="2"/>
          </rPr>
          <t>Rates of income-tax:</t>
        </r>
        <r>
          <rPr>
            <sz val="9"/>
            <color indexed="81"/>
            <rFont val="Tahoma"/>
            <family val="2"/>
          </rPr>
          <t xml:space="preserve">
(1) where the total income does not exceed ₹ 2,50,000
   </t>
        </r>
        <r>
          <rPr>
            <b/>
            <sz val="9"/>
            <color indexed="81"/>
            <rFont val="Tahoma"/>
            <family val="2"/>
          </rPr>
          <t xml:space="preserve">  Nil;</t>
        </r>
        <r>
          <rPr>
            <sz val="9"/>
            <color indexed="81"/>
            <rFont val="Tahoma"/>
            <family val="2"/>
          </rPr>
          <t xml:space="preserve">
(2) where the total income exceeds ₹ 2,50,000 but does not exceed ₹ 5,00,000
     </t>
        </r>
        <r>
          <rPr>
            <b/>
            <sz val="9"/>
            <color indexed="81"/>
            <rFont val="Tahoma"/>
            <family val="2"/>
          </rPr>
          <t>5 per cent. of the amount by which the total income exceeds ₹ 2,50,000;</t>
        </r>
        <r>
          <rPr>
            <sz val="9"/>
            <color indexed="81"/>
            <rFont val="Tahoma"/>
            <family val="2"/>
          </rPr>
          <t xml:space="preserve">
(3) where the total income exceeds ₹ 5,00,000 but does not exceed ₹ 10,00,000
    </t>
        </r>
        <r>
          <rPr>
            <b/>
            <sz val="9"/>
            <color indexed="81"/>
            <rFont val="Tahoma"/>
            <family val="2"/>
          </rPr>
          <t xml:space="preserve"> ₹ 12,500 plus 20 per cent. of the amount by which the total income exceeds ₹ 5,00,000;
</t>
        </r>
        <r>
          <rPr>
            <sz val="9"/>
            <color indexed="81"/>
            <rFont val="Tahoma"/>
            <family val="2"/>
          </rPr>
          <t xml:space="preserve">
(4) where the total income exceeds ₹ 10,00,000
     </t>
        </r>
        <r>
          <rPr>
            <b/>
            <sz val="9"/>
            <color indexed="81"/>
            <rFont val="Tahoma"/>
            <family val="2"/>
          </rPr>
          <t>₹ 1,12,500 plus 30 per cent. of the amount by which the total income exceeds ₹ 10,00,000.</t>
        </r>
      </text>
    </comment>
    <comment ref="AV167" authorId="0" shapeId="0" xr:uid="{00000000-0006-0000-0000-000021000000}">
      <text>
        <r>
          <rPr>
            <b/>
            <sz val="9"/>
            <color indexed="81"/>
            <rFont val="Tahoma"/>
            <family val="2"/>
          </rPr>
          <t xml:space="preserve">Rebate of income-tax in case of certain individuals.:
156. (1) </t>
        </r>
        <r>
          <rPr>
            <sz val="9"/>
            <color indexed="81"/>
            <rFont val="Tahoma"/>
            <family val="2"/>
          </rPr>
          <t xml:space="preserve">A resident individual assessee shall be entitled to a deduction of </t>
        </r>
        <r>
          <rPr>
            <b/>
            <sz val="9"/>
            <color indexed="81"/>
            <rFont val="Tahoma"/>
            <family val="2"/>
          </rPr>
          <t xml:space="preserve">100% of income-tax payable </t>
        </r>
        <r>
          <rPr>
            <sz val="9"/>
            <color indexed="81"/>
            <rFont val="Tahoma"/>
            <family val="2"/>
          </rPr>
          <t>or</t>
        </r>
        <r>
          <rPr>
            <b/>
            <sz val="9"/>
            <color indexed="81"/>
            <rFont val="Tahoma"/>
            <family val="2"/>
          </rPr>
          <t xml:space="preserve"> twelve thousand five hundred rupees, </t>
        </r>
        <r>
          <rPr>
            <sz val="9"/>
            <color indexed="81"/>
            <rFont val="Tahoma"/>
            <family val="2"/>
          </rPr>
          <t>whichever is less, from the income-tax (computed before allowing the deduction under this section) chargeable on the total income for any tax year if the</t>
        </r>
        <r>
          <rPr>
            <b/>
            <sz val="9"/>
            <color indexed="81"/>
            <rFont val="Tahoma"/>
            <family val="2"/>
          </rPr>
          <t xml:space="preserve"> total income does not exceed five lakh rupees.
155. (2) </t>
        </r>
        <r>
          <rPr>
            <sz val="9"/>
            <color indexed="81"/>
            <rFont val="Tahoma"/>
            <family val="2"/>
          </rPr>
          <t>The deduction under section 156, shall not, in any case, exceed income-tax (as computed before allowing the deductions under this Part) on the total income of the assessee with which he is chargeable for any tax year.</t>
        </r>
      </text>
    </comment>
    <comment ref="AV171" authorId="0" shapeId="0" xr:uid="{00000000-0006-0000-0000-000022000000}">
      <text>
        <r>
          <rPr>
            <b/>
            <sz val="9"/>
            <color indexed="81"/>
            <rFont val="Tahoma"/>
            <family val="2"/>
          </rPr>
          <t>Health and Education Cess</t>
        </r>
        <r>
          <rPr>
            <sz val="9"/>
            <color indexed="81"/>
            <rFont val="Tahoma"/>
            <family val="2"/>
          </rPr>
          <t xml:space="preserve"> : 
Health and Education Cess is levied at the rate of </t>
        </r>
        <r>
          <rPr>
            <b/>
            <sz val="9"/>
            <color indexed="81"/>
            <rFont val="Tahoma"/>
            <family val="2"/>
          </rPr>
          <t>4%</t>
        </r>
        <r>
          <rPr>
            <sz val="9"/>
            <color indexed="81"/>
            <rFont val="Tahoma"/>
            <family val="2"/>
          </rPr>
          <t xml:space="preserve"> on the amount of income-tax plus surcharge.</t>
        </r>
      </text>
    </comment>
    <comment ref="AV175" authorId="0" shapeId="0" xr:uid="{00000000-0006-0000-0000-000023000000}">
      <text>
        <r>
          <rPr>
            <b/>
            <sz val="9"/>
            <color indexed="81"/>
            <rFont val="Tahoma"/>
            <family val="2"/>
          </rPr>
          <t>Relief when salary, etc., is paid in arrears or in advance. :</t>
        </r>
        <r>
          <rPr>
            <sz val="9"/>
            <color indexed="81"/>
            <rFont val="Tahoma"/>
            <family val="2"/>
          </rPr>
          <t xml:space="preserve">
</t>
        </r>
        <r>
          <rPr>
            <b/>
            <sz val="9"/>
            <color indexed="81"/>
            <rFont val="Tahoma"/>
            <family val="2"/>
          </rPr>
          <t xml:space="preserve">157. (1) </t>
        </r>
        <r>
          <rPr>
            <sz val="9"/>
            <color indexed="81"/>
            <rFont val="Tahoma"/>
            <family val="2"/>
          </rPr>
          <t>Where the total income of an assessee is assessed at a rate higher than the rate at which it would otherwise have been assessed, due to the following receipts,—
(a) a sum in the nature of arrear or advance salary; or
(b) salary for more than twelve months in any one tax year; or
(c) a payment in the nature of “profits in lieu of salary” under section 18(1); or
(d) arrears of “family pension” as defined in section 93(1)(d),
the Assessing Officer shall on an application made to him by the assessee in this behalf, grant such relief, as prescribed.
(2) No relief shall be granted on any income on which deduction has been claimed by the assessee in section 19(1)(Table: Sl. No. 12) for any amount mentioned therein, for such, or any other, tax year.</t>
        </r>
      </text>
    </comment>
    <comment ref="AV177" authorId="0" shapeId="0" xr:uid="{00000000-0006-0000-0000-000024000000}">
      <text>
        <r>
          <rPr>
            <b/>
            <sz val="9"/>
            <color indexed="81"/>
            <rFont val="Tahoma"/>
            <family val="2"/>
          </rPr>
          <t>Rounding off of amount of total income, or tax payable or refundable.:</t>
        </r>
        <r>
          <rPr>
            <sz val="9"/>
            <color indexed="81"/>
            <rFont val="Tahoma"/>
            <family val="2"/>
          </rPr>
          <t xml:space="preserve">
</t>
        </r>
        <r>
          <rPr>
            <b/>
            <sz val="9"/>
            <color indexed="81"/>
            <rFont val="Tahoma"/>
            <family val="2"/>
          </rPr>
          <t>516.</t>
        </r>
        <r>
          <rPr>
            <sz val="9"/>
            <color indexed="81"/>
            <rFont val="Tahoma"/>
            <family val="2"/>
          </rPr>
          <t xml:space="preserve"> The amount of total income computed or any </t>
        </r>
        <r>
          <rPr>
            <b/>
            <sz val="9"/>
            <color indexed="81"/>
            <rFont val="Tahoma"/>
            <family val="2"/>
          </rPr>
          <t xml:space="preserve">amount payable or refundable </t>
        </r>
        <r>
          <rPr>
            <sz val="9"/>
            <color indexed="81"/>
            <rFont val="Tahoma"/>
            <family val="2"/>
          </rPr>
          <t xml:space="preserve">under this Act, shall be </t>
        </r>
        <r>
          <rPr>
            <b/>
            <sz val="9"/>
            <color indexed="81"/>
            <rFont val="Tahoma"/>
            <family val="2"/>
          </rPr>
          <t>rounded off</t>
        </r>
        <r>
          <rPr>
            <sz val="9"/>
            <color indexed="81"/>
            <rFont val="Tahoma"/>
            <family val="2"/>
          </rPr>
          <t xml:space="preserve"> to the </t>
        </r>
        <r>
          <rPr>
            <b/>
            <sz val="9"/>
            <color indexed="81"/>
            <rFont val="Tahoma"/>
            <family val="2"/>
          </rPr>
          <t>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next higher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next lower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amount </t>
        </r>
        <r>
          <rPr>
            <b/>
            <sz val="9"/>
            <color indexed="81"/>
            <rFont val="Tahoma"/>
            <family val="2"/>
          </rPr>
          <t xml:space="preserve">so rounded off shall be deemed </t>
        </r>
        <r>
          <rPr>
            <sz val="9"/>
            <color indexed="81"/>
            <rFont val="Tahoma"/>
            <family val="2"/>
          </rPr>
          <t xml:space="preserve">to be the total income of the assessee or the </t>
        </r>
        <r>
          <rPr>
            <b/>
            <sz val="9"/>
            <color indexed="81"/>
            <rFont val="Tahoma"/>
            <family val="2"/>
          </rPr>
          <t>amount payable and refund due</t>
        </r>
        <r>
          <rPr>
            <sz val="9"/>
            <color indexed="81"/>
            <rFont val="Tahoma"/>
            <family val="2"/>
          </rPr>
          <t xml:space="preserve">, under this Act.
</t>
        </r>
      </text>
    </comment>
    <comment ref="AV188" authorId="0" shapeId="0" xr:uid="{00000000-0006-0000-0000-000025000000}">
      <text>
        <r>
          <rPr>
            <b/>
            <sz val="9"/>
            <color indexed="81"/>
            <rFont val="Tahoma"/>
            <family val="2"/>
          </rPr>
          <t xml:space="preserve">
Rounding off of amount of total income, or tax payable or refundable.:
516.</t>
        </r>
        <r>
          <rPr>
            <sz val="9"/>
            <color indexed="81"/>
            <rFont val="Tahoma"/>
            <family val="2"/>
          </rPr>
          <t xml:space="preserve"> The amount of total income computed or </t>
        </r>
        <r>
          <rPr>
            <b/>
            <sz val="9"/>
            <color indexed="81"/>
            <rFont val="Tahoma"/>
            <family val="2"/>
          </rPr>
          <t>any amount payable or refundable</t>
        </r>
        <r>
          <rPr>
            <sz val="9"/>
            <color indexed="81"/>
            <rFont val="Tahoma"/>
            <family val="2"/>
          </rPr>
          <t xml:space="preserve"> under this Act, shall be </t>
        </r>
        <r>
          <rPr>
            <b/>
            <sz val="9"/>
            <color indexed="81"/>
            <rFont val="Tahoma"/>
            <family val="2"/>
          </rPr>
          <t xml:space="preserve">rounded off to </t>
        </r>
        <r>
          <rPr>
            <sz val="9"/>
            <color indexed="81"/>
            <rFont val="Tahoma"/>
            <family val="2"/>
          </rPr>
          <t xml:space="preserve">the nearest </t>
        </r>
        <r>
          <rPr>
            <b/>
            <sz val="9"/>
            <color indexed="81"/>
            <rFont val="Tahoma"/>
            <family val="2"/>
          </rPr>
          <t xml:space="preserve">multiple of ten </t>
        </r>
        <r>
          <rPr>
            <sz val="9"/>
            <color indexed="81"/>
            <rFont val="Tahoma"/>
            <family val="2"/>
          </rPr>
          <t xml:space="preserve">rupees ignoring any part of a rupee consisting of paise and thereafter if such amount is not a multiple of ten, then—
(a) such amount shall be increased to </t>
        </r>
        <r>
          <rPr>
            <b/>
            <sz val="9"/>
            <color indexed="81"/>
            <rFont val="Tahoma"/>
            <family val="2"/>
          </rPr>
          <t>the next higher</t>
        </r>
        <r>
          <rPr>
            <sz val="9"/>
            <color indexed="81"/>
            <rFont val="Tahoma"/>
            <family val="2"/>
          </rPr>
          <t xml:space="preserve"> amount which is a </t>
        </r>
        <r>
          <rPr>
            <b/>
            <sz val="9"/>
            <color indexed="81"/>
            <rFont val="Tahoma"/>
            <family val="2"/>
          </rPr>
          <t>multiple of ten</t>
        </r>
        <r>
          <rPr>
            <sz val="9"/>
            <color indexed="81"/>
            <rFont val="Tahoma"/>
            <family val="2"/>
          </rPr>
          <t xml:space="preserve">, if the last figure in that amount is </t>
        </r>
        <r>
          <rPr>
            <b/>
            <sz val="9"/>
            <color indexed="81"/>
            <rFont val="Tahoma"/>
            <family val="2"/>
          </rPr>
          <t>five or more</t>
        </r>
        <r>
          <rPr>
            <sz val="9"/>
            <color indexed="81"/>
            <rFont val="Tahoma"/>
            <family val="2"/>
          </rPr>
          <t xml:space="preserve">; or
(b) such amount shall be reduced to the </t>
        </r>
        <r>
          <rPr>
            <b/>
            <sz val="9"/>
            <color indexed="81"/>
            <rFont val="Tahoma"/>
            <family val="2"/>
          </rPr>
          <t>next lower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amount so </t>
        </r>
        <r>
          <rPr>
            <b/>
            <sz val="9"/>
            <color indexed="81"/>
            <rFont val="Tahoma"/>
            <family val="2"/>
          </rPr>
          <t>rounded off shall be</t>
        </r>
        <r>
          <rPr>
            <sz val="9"/>
            <color indexed="81"/>
            <rFont val="Tahoma"/>
            <family val="2"/>
          </rPr>
          <t xml:space="preserve"> deemed to be the total income of the assessee or the </t>
        </r>
        <r>
          <rPr>
            <b/>
            <sz val="9"/>
            <color indexed="81"/>
            <rFont val="Tahoma"/>
            <family val="2"/>
          </rPr>
          <t xml:space="preserve">amount payable </t>
        </r>
        <r>
          <rPr>
            <sz val="9"/>
            <color indexed="81"/>
            <rFont val="Tahoma"/>
            <family val="2"/>
          </rPr>
          <t>and</t>
        </r>
        <r>
          <rPr>
            <b/>
            <sz val="9"/>
            <color indexed="81"/>
            <rFont val="Tahoma"/>
            <family val="2"/>
          </rPr>
          <t xml:space="preserve"> refund due</t>
        </r>
        <r>
          <rPr>
            <sz val="9"/>
            <color indexed="81"/>
            <rFont val="Tahoma"/>
            <family val="2"/>
          </rPr>
          <t>, under this Act.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11" authorId="0" shapeId="0" xr:uid="{6CD78BEB-467E-4939-A48B-A38D66CAC469}">
      <text>
        <r>
          <rPr>
            <b/>
            <sz val="9"/>
            <color indexed="81"/>
            <rFont val="Tahoma"/>
            <family val="2"/>
          </rPr>
          <t>Name:</t>
        </r>
        <r>
          <rPr>
            <sz val="9"/>
            <color indexed="81"/>
            <rFont val="Tahoma"/>
            <family val="2"/>
          </rPr>
          <t xml:space="preserve">
Please ensure to enter Name  in Income Tax Proforma sheet.</t>
        </r>
      </text>
    </comment>
    <comment ref="U20" authorId="0" shapeId="0" xr:uid="{9A1E630B-A2B2-4E84-97FD-976E266701E5}">
      <text>
        <r>
          <rPr>
            <b/>
            <sz val="9"/>
            <color indexed="81"/>
            <rFont val="Tahoma"/>
            <family val="2"/>
          </rPr>
          <t>PAN:</t>
        </r>
        <r>
          <rPr>
            <sz val="9"/>
            <color indexed="81"/>
            <rFont val="Tahoma"/>
            <family val="2"/>
          </rPr>
          <t xml:space="preserve">
Please ensure to enter PAN  in Income Tax Proforma sheet.</t>
        </r>
      </text>
    </comment>
    <comment ref="D45" authorId="0" shapeId="0" xr:uid="{7AF633F8-52D5-498C-96BF-2D331A30D6A6}">
      <text>
        <r>
          <rPr>
            <b/>
            <sz val="9"/>
            <color indexed="81"/>
            <rFont val="Tahoma"/>
            <family val="2"/>
          </rPr>
          <t>Name:</t>
        </r>
        <r>
          <rPr>
            <sz val="9"/>
            <color indexed="81"/>
            <rFont val="Tahoma"/>
            <family val="2"/>
          </rPr>
          <t xml:space="preserve">
Please ensure to enter Name  in Income Tax Proforma sheet.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V28" authorId="0" shapeId="0" xr:uid="{1F548483-2D8D-4BE1-91B8-29A894B5B7CE}">
      <text>
        <r>
          <rPr>
            <b/>
            <sz val="9"/>
            <color indexed="81"/>
            <rFont val="Tahoma"/>
            <family val="2"/>
          </rPr>
          <t xml:space="preserve">Earned Leave Encashment:
</t>
        </r>
        <r>
          <rPr>
            <sz val="9"/>
            <color indexed="81"/>
            <rFont val="Tahoma"/>
            <family val="2"/>
          </rPr>
          <t>Please enter the amount received as Earned Leave Encashment.</t>
        </r>
        <r>
          <rPr>
            <b/>
            <sz val="9"/>
            <color indexed="81"/>
            <rFont val="Tahoma"/>
            <family val="2"/>
          </rPr>
          <t xml:space="preserve">
16. For the purposes of this Part, “salary” includes—
</t>
        </r>
        <r>
          <rPr>
            <sz val="9"/>
            <color indexed="81"/>
            <rFont val="Tahoma"/>
            <family val="2"/>
          </rPr>
          <t>(h) any payment received by an employee in respect of any period of leave not availed of by him;</t>
        </r>
      </text>
    </comment>
    <comment ref="BA28" authorId="0" shapeId="0" xr:uid="{347DA538-1523-4D64-AF27-1E656C2894CE}">
      <text>
        <r>
          <rPr>
            <b/>
            <sz val="9"/>
            <color indexed="81"/>
            <rFont val="Tahoma"/>
            <family val="2"/>
          </rPr>
          <t xml:space="preserve">Income deemed to be received :
7. The following incomes shall be deemed to be received in the previous year :—
 (iii) </t>
        </r>
        <r>
          <rPr>
            <sz val="9"/>
            <color indexed="81"/>
            <rFont val="Tahoma"/>
            <family val="2"/>
          </rPr>
          <t xml:space="preserve">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 xml:space="preserve">80CCD.
"Salary"
17. For the purposes of sections 15 and 16 and of this section,—
(viii) </t>
        </r>
        <r>
          <rPr>
            <sz val="9"/>
            <color indexed="81"/>
            <rFont val="Tahoma"/>
            <family val="2"/>
          </rPr>
          <t xml:space="preserve">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80CCD;</t>
        </r>
      </text>
    </comment>
    <comment ref="AH34" authorId="0" shapeId="0" xr:uid="{DE2A27B0-2029-4445-A86D-62A413DF0293}">
      <text>
        <r>
          <rPr>
            <b/>
            <sz val="9"/>
            <color indexed="81"/>
            <rFont val="Tahoma"/>
            <family val="2"/>
          </rPr>
          <t xml:space="preserve">15. (1) The following income shall be chargeable to income-tax under the head “Salaries”:—
(c) </t>
        </r>
        <r>
          <rPr>
            <sz val="9"/>
            <color indexed="81"/>
            <rFont val="Tahoma"/>
            <family val="2"/>
          </rPr>
          <t xml:space="preserve">any arrears of salary paid or allowed to him in the tax year by or on behalf of an employer, if not charged to income-tax for any earlier tax year.
</t>
        </r>
        <r>
          <rPr>
            <b/>
            <sz val="9"/>
            <color indexed="81"/>
            <rFont val="Tahoma"/>
            <family val="2"/>
          </rPr>
          <t xml:space="preserve">
Salary Arrear 1 :
</t>
        </r>
        <r>
          <rPr>
            <sz val="9"/>
            <color indexed="81"/>
            <rFont val="Tahoma"/>
            <family val="2"/>
          </rPr>
          <t>Please enter the amount of Salary Arrear received.</t>
        </r>
      </text>
    </comment>
    <comment ref="BC34" authorId="0" shapeId="0" xr:uid="{FB4BDC6A-74C9-4A9E-9342-CE80CCADCC09}">
      <text>
        <r>
          <rPr>
            <b/>
            <sz val="9"/>
            <color indexed="81"/>
            <rFont val="Tahoma"/>
            <family val="2"/>
          </rPr>
          <t xml:space="preserve">15. (1) The following income shall be chargeable to income-tax under the head “Salaries”:—
(c) </t>
        </r>
        <r>
          <rPr>
            <sz val="9"/>
            <color indexed="81"/>
            <rFont val="Tahoma"/>
            <family val="2"/>
          </rPr>
          <t>any arrears of salary paid or allowed to him in the tax year by or on behalf of an employer, if not charged to income-tax for any earlier tax year.</t>
        </r>
        <r>
          <rPr>
            <b/>
            <sz val="9"/>
            <color indexed="81"/>
            <rFont val="Tahoma"/>
            <family val="2"/>
          </rPr>
          <t xml:space="preserve">
Salary Arrear 2 :
</t>
        </r>
        <r>
          <rPr>
            <sz val="9"/>
            <color indexed="81"/>
            <rFont val="Tahoma"/>
            <family val="2"/>
          </rPr>
          <t>Please enter the amount of Salary Arrear received.</t>
        </r>
      </text>
    </comment>
    <comment ref="AV40" authorId="0" shapeId="0" xr:uid="{B27F1067-EA8A-471D-BDE2-86C403B3AB16}">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Sl. No.  A 
</t>
        </r>
        <r>
          <rPr>
            <sz val="9"/>
            <color indexed="81"/>
            <rFont val="Tahoma"/>
            <family val="2"/>
          </rPr>
          <t>2.</t>
        </r>
        <r>
          <rPr>
            <b/>
            <sz val="9"/>
            <color indexed="81"/>
            <rFont val="Tahoma"/>
            <family val="2"/>
          </rPr>
          <t xml:space="preserve">
Nature of sum      B 
     </t>
        </r>
        <r>
          <rPr>
            <sz val="9"/>
            <color indexed="81"/>
            <rFont val="Tahoma"/>
            <family val="2"/>
          </rPr>
          <t>Standard deduction.</t>
        </r>
        <r>
          <rPr>
            <b/>
            <sz val="9"/>
            <color indexed="81"/>
            <rFont val="Tahoma"/>
            <family val="2"/>
          </rPr>
          <t xml:space="preserve">
 Amount of deduction  C
</t>
        </r>
        <r>
          <rPr>
            <sz val="9"/>
            <color indexed="81"/>
            <rFont val="Tahoma"/>
            <family val="2"/>
          </rPr>
          <t>(a) ₹ 75,000 or the salary, whichever is less, where income-tax is computed under section 202(1);</t>
        </r>
      </text>
    </comment>
    <comment ref="AV46" authorId="0" shapeId="0" xr:uid="{9ED10651-498E-48C9-8157-DD7D79485A89}">
      <text>
        <r>
          <rPr>
            <b/>
            <sz val="9"/>
            <color indexed="81"/>
            <rFont val="Tahoma"/>
            <family val="2"/>
          </rPr>
          <t xml:space="preserve">Income in respect of interest on deposits in savings account:
</t>
        </r>
        <r>
          <rPr>
            <sz val="9"/>
            <color indexed="81"/>
            <rFont val="Tahoma"/>
            <family val="2"/>
          </rPr>
          <t>income by way of interest on deposits with––
(i) a banking company to which the Banking Regulation Act, 1949, applies (including any bank or banking institution referred to in section 51 of that Act); or
Deduction for interest on deposits
(ii) a co-operative society engaged in carrying on the business of banking (including a co-operative land mortgage bank or a co-operative land development bank); or
(iii) a Post Office as defined in section 2(k) of the Post Office Act, 2023.</t>
        </r>
      </text>
    </comment>
    <comment ref="AV48" authorId="0" shapeId="0" xr:uid="{CE9FE481-2388-4BBF-B5D7-82A7655F51A9}">
      <text>
        <r>
          <rPr>
            <b/>
            <sz val="9"/>
            <color indexed="81"/>
            <rFont val="Tahoma"/>
            <family val="2"/>
          </rPr>
          <t xml:space="preserve">Time Deposits:
</t>
        </r>
        <r>
          <rPr>
            <sz val="9"/>
            <color indexed="81"/>
            <rFont val="Tahoma"/>
            <family val="2"/>
          </rPr>
          <t>In this section, “time deposits” means the deposits repayable on expiry of fixed periods.</t>
        </r>
      </text>
    </comment>
    <comment ref="AV52" authorId="0" shapeId="0" xr:uid="{8E215B1D-14AB-47BD-9F51-3C0103736952}">
      <text>
        <r>
          <rPr>
            <b/>
            <sz val="9"/>
            <color indexed="81"/>
            <rFont val="Tahoma"/>
            <family val="2"/>
          </rPr>
          <t xml:space="preserve">Income from other sources:
92. (1) </t>
        </r>
        <r>
          <rPr>
            <sz val="9"/>
            <color indexed="81"/>
            <rFont val="Tahoma"/>
            <family val="2"/>
          </rPr>
          <t>Income of every kind which is not to be excluded from the total income, shall be chargeable to income-tax under the head “Income from other sources”, if it is not chargeable to income-tax under any of the heads specified in section 13(a) to (d).</t>
        </r>
      </text>
    </comment>
    <comment ref="AJ58" authorId="0" shapeId="0" xr:uid="{DC84287A-47F5-47E1-AD35-4EB16C210263}">
      <text>
        <r>
          <rPr>
            <b/>
            <sz val="9"/>
            <color indexed="81"/>
            <rFont val="Tahoma"/>
            <family val="2"/>
          </rPr>
          <t xml:space="preserve">Deduction in respect of employer's contribution to a pension scheme notified by the Central Government:
124. (1) </t>
        </r>
        <r>
          <rPr>
            <sz val="9"/>
            <color indexed="81"/>
            <rFont val="Tahoma"/>
            <family val="2"/>
          </rPr>
          <t xml:space="preserve">Where in the case of an assessee, being an individual employed by any employer, if an employer makes any contribution in his account under a pension scheme notified by the Central Government, the assessee shall be allowed a deduction in the computation of his total income, of the whole of the amount contributed by such employer as does not exceed—
(a) </t>
        </r>
        <r>
          <rPr>
            <b/>
            <sz val="9"/>
            <color indexed="81"/>
            <rFont val="Tahoma"/>
            <family val="2"/>
          </rPr>
          <t>14%</t>
        </r>
        <r>
          <rPr>
            <sz val="9"/>
            <color indexed="81"/>
            <rFont val="Tahoma"/>
            <family val="2"/>
          </rPr>
          <t xml:space="preserve">, where such contribution is made by the employer being the Central Government or the State Government; and
(b) </t>
        </r>
        <r>
          <rPr>
            <b/>
            <sz val="9"/>
            <color indexed="81"/>
            <rFont val="Tahoma"/>
            <family val="2"/>
          </rPr>
          <t>10%</t>
        </r>
        <r>
          <rPr>
            <sz val="9"/>
            <color indexed="81"/>
            <rFont val="Tahoma"/>
            <family val="2"/>
          </rPr>
          <t xml:space="preserve">, where such contribution is made by an employer other than an employer referred to in clause (a),
of his salary in the tax year.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V62" authorId="0" shapeId="0" xr:uid="{8AC1FF44-5B3C-4E7D-8E9F-65E0746A3F75}">
      <text>
        <r>
          <rPr>
            <b/>
            <sz val="9"/>
            <color indexed="81"/>
            <rFont val="Tahoma"/>
            <family val="2"/>
          </rPr>
          <t xml:space="preserve">Rounding off of amount of total income, or tax payable or refundable.:
516. </t>
        </r>
        <r>
          <rPr>
            <sz val="9"/>
            <color indexed="81"/>
            <rFont val="Tahoma"/>
            <family val="2"/>
          </rPr>
          <t xml:space="preserve">The amount of </t>
        </r>
        <r>
          <rPr>
            <b/>
            <sz val="9"/>
            <color indexed="81"/>
            <rFont val="Tahoma"/>
            <family val="2"/>
          </rPr>
          <t>total income</t>
        </r>
        <r>
          <rPr>
            <sz val="9"/>
            <color indexed="81"/>
            <rFont val="Tahoma"/>
            <family val="2"/>
          </rPr>
          <t xml:space="preserve"> computed or any amount payable or refundable under this Act, shall be </t>
        </r>
        <r>
          <rPr>
            <b/>
            <sz val="9"/>
            <color indexed="81"/>
            <rFont val="Tahoma"/>
            <family val="2"/>
          </rPr>
          <t xml:space="preserve">rounded off to the nearest multiple of ten </t>
        </r>
        <r>
          <rPr>
            <sz val="9"/>
            <color indexed="81"/>
            <rFont val="Tahoma"/>
            <family val="2"/>
          </rPr>
          <t xml:space="preserve">rupees ignoring any part of a rupee consisting of paise and thereafter if such amount is not a multiple of ten, then—
(a) such amount shall be increased to the </t>
        </r>
        <r>
          <rPr>
            <b/>
            <sz val="9"/>
            <color indexed="81"/>
            <rFont val="Tahoma"/>
            <family val="2"/>
          </rPr>
          <t>next higher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 xml:space="preserve">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t>
        </r>
        <r>
          <rPr>
            <b/>
            <sz val="9"/>
            <color indexed="81"/>
            <rFont val="Tahoma"/>
            <family val="2"/>
          </rPr>
          <t>amount so rounded off</t>
        </r>
        <r>
          <rPr>
            <sz val="9"/>
            <color indexed="81"/>
            <rFont val="Tahoma"/>
            <family val="2"/>
          </rPr>
          <t xml:space="preserve"> shall be deemed to be the </t>
        </r>
        <r>
          <rPr>
            <b/>
            <sz val="9"/>
            <color indexed="81"/>
            <rFont val="Tahoma"/>
            <family val="2"/>
          </rPr>
          <t>total income</t>
        </r>
        <r>
          <rPr>
            <sz val="9"/>
            <color indexed="81"/>
            <rFont val="Tahoma"/>
            <family val="2"/>
          </rPr>
          <t xml:space="preserve"> of the assessee or the amount payable and refund due, under this Act.</t>
        </r>
      </text>
    </comment>
    <comment ref="AV66" authorId="0" shapeId="0" xr:uid="{998B9DCF-58D5-447A-8442-608A27881E31}">
      <text>
        <r>
          <rPr>
            <b/>
            <sz val="9"/>
            <color indexed="81"/>
            <rFont val="Tahoma"/>
            <family val="2"/>
          </rPr>
          <t>Rates of income-tax:</t>
        </r>
        <r>
          <rPr>
            <sz val="9"/>
            <color indexed="81"/>
            <rFont val="Tahoma"/>
            <family val="2"/>
          </rPr>
          <t xml:space="preserve">
(1) Upto ₹4,00,000
     </t>
        </r>
        <r>
          <rPr>
            <b/>
            <sz val="9"/>
            <color indexed="81"/>
            <rFont val="Tahoma"/>
            <family val="2"/>
          </rPr>
          <t>Nil;</t>
        </r>
        <r>
          <rPr>
            <sz val="9"/>
            <color indexed="81"/>
            <rFont val="Tahoma"/>
            <family val="2"/>
          </rPr>
          <t xml:space="preserve">
(2) From ₹4,00,001 to ₹8,00,000
     </t>
        </r>
        <r>
          <rPr>
            <b/>
            <sz val="9"/>
            <color indexed="81"/>
            <rFont val="Tahoma"/>
            <family val="2"/>
          </rPr>
          <t>5 per cent. of the amount by which the total income exceeds ₹ 4,00,000;</t>
        </r>
        <r>
          <rPr>
            <sz val="9"/>
            <color indexed="81"/>
            <rFont val="Tahoma"/>
            <family val="2"/>
          </rPr>
          <t xml:space="preserve">
(3) From ₹8,00,001 to ₹12,00,000
     </t>
        </r>
        <r>
          <rPr>
            <b/>
            <sz val="9"/>
            <color indexed="81"/>
            <rFont val="Tahoma"/>
            <family val="2"/>
          </rPr>
          <t>₹ 20,000 plus 10 per cent. of the amount by which the total income exceeds ₹ 8,00,000;</t>
        </r>
        <r>
          <rPr>
            <sz val="9"/>
            <color indexed="81"/>
            <rFont val="Tahoma"/>
            <family val="2"/>
          </rPr>
          <t xml:space="preserve">
(4) From ₹12,00,001 to ₹16,00,000
     </t>
        </r>
        <r>
          <rPr>
            <b/>
            <sz val="9"/>
            <color indexed="81"/>
            <rFont val="Tahoma"/>
            <family val="2"/>
          </rPr>
          <t>₹ 60,000 plus 15 per cent. of the amount by which the total income exceeds ₹ 8,00,000;</t>
        </r>
        <r>
          <rPr>
            <sz val="9"/>
            <color indexed="81"/>
            <rFont val="Tahoma"/>
            <family val="2"/>
          </rPr>
          <t xml:space="preserve">
(5) From ₹16,00,001 to ₹20,00,000
     </t>
        </r>
        <r>
          <rPr>
            <b/>
            <sz val="9"/>
            <color indexed="81"/>
            <rFont val="Tahoma"/>
            <family val="2"/>
          </rPr>
          <t>₹ 120,000 plus 20 per cent. of the amount by which the total income exceeds ₹ 16,00,000;</t>
        </r>
        <r>
          <rPr>
            <sz val="9"/>
            <color indexed="81"/>
            <rFont val="Tahoma"/>
            <family val="2"/>
          </rPr>
          <t xml:space="preserve">
(5) From ₹20,00,001 to ₹24,00,000
     </t>
        </r>
        <r>
          <rPr>
            <b/>
            <sz val="9"/>
            <color indexed="81"/>
            <rFont val="Tahoma"/>
            <family val="2"/>
          </rPr>
          <t>₹ 200,000 plus 25 per cent. of the amount by which the total income exceeds ₹ 20,00,000;</t>
        </r>
        <r>
          <rPr>
            <sz val="9"/>
            <color indexed="81"/>
            <rFont val="Tahoma"/>
            <family val="2"/>
          </rPr>
          <t xml:space="preserve">
(6) where the total income exceeds ₹ 24,00,000
     </t>
        </r>
        <r>
          <rPr>
            <b/>
            <sz val="9"/>
            <color indexed="81"/>
            <rFont val="Tahoma"/>
            <family val="2"/>
          </rPr>
          <t>₹ 300,000 plus 30 per cent. of the amount by which the total income exceeds ₹ 24,00,000;</t>
        </r>
      </text>
    </comment>
    <comment ref="AV68" authorId="0" shapeId="0" xr:uid="{0AED788B-F7CA-4168-90CF-DCC3494BC048}">
      <text>
        <r>
          <rPr>
            <b/>
            <sz val="9"/>
            <color indexed="81"/>
            <rFont val="Tahoma"/>
            <family val="2"/>
          </rPr>
          <t>Rebate of income-tax in case of certain individuals..</t>
        </r>
        <r>
          <rPr>
            <sz val="9"/>
            <color indexed="81"/>
            <rFont val="Tahoma"/>
            <family val="2"/>
          </rPr>
          <t xml:space="preserve">
</t>
        </r>
        <r>
          <rPr>
            <b/>
            <sz val="9"/>
            <color indexed="81"/>
            <rFont val="Tahoma"/>
            <family val="2"/>
          </rPr>
          <t>156. (2)</t>
        </r>
        <r>
          <rPr>
            <sz val="9"/>
            <color indexed="81"/>
            <rFont val="Tahoma"/>
            <family val="2"/>
          </rPr>
          <t xml:space="preserve"> (2) Where the total income of a resident individual assessee for any tax year is chargeable to tax under section </t>
        </r>
        <r>
          <rPr>
            <b/>
            <sz val="9"/>
            <color indexed="81"/>
            <rFont val="Tahoma"/>
            <family val="2"/>
          </rPr>
          <t>202(1)</t>
        </r>
        <r>
          <rPr>
            <sz val="9"/>
            <color indexed="81"/>
            <rFont val="Tahoma"/>
            <family val="2"/>
          </rPr>
          <t xml:space="preserve">, then from income-tax (computed before allowing the deduction under this section) following deductions shall be allowed, if—
(a) the income does not exceed </t>
        </r>
        <r>
          <rPr>
            <b/>
            <sz val="9"/>
            <color indexed="81"/>
            <rFont val="Tahoma"/>
            <family val="2"/>
          </rPr>
          <t>twelve lakh rupees</t>
        </r>
        <r>
          <rPr>
            <sz val="9"/>
            <color indexed="81"/>
            <rFont val="Tahoma"/>
            <family val="2"/>
          </rPr>
          <t xml:space="preserve">, 100% of the income-tax payable or </t>
        </r>
        <r>
          <rPr>
            <b/>
            <sz val="9"/>
            <color indexed="81"/>
            <rFont val="Tahoma"/>
            <family val="2"/>
          </rPr>
          <t>sixty thousand rupees</t>
        </r>
        <r>
          <rPr>
            <sz val="9"/>
            <color indexed="81"/>
            <rFont val="Tahoma"/>
            <family val="2"/>
          </rPr>
          <t xml:space="preserve">, whichever is less;
(b) the income </t>
        </r>
        <r>
          <rPr>
            <b/>
            <sz val="9"/>
            <color indexed="81"/>
            <rFont val="Tahoma"/>
            <family val="2"/>
          </rPr>
          <t>exceeds twelve lakh rupees</t>
        </r>
        <r>
          <rPr>
            <sz val="9"/>
            <color indexed="81"/>
            <rFont val="Tahoma"/>
            <family val="2"/>
          </rPr>
          <t xml:space="preserve">, the income-tax payable on the total income, </t>
        </r>
        <r>
          <rPr>
            <b/>
            <sz val="9"/>
            <color indexed="81"/>
            <rFont val="Tahoma"/>
            <family val="2"/>
          </rPr>
          <t>reduced by total income which is in excess of twelve lakh rupees</t>
        </r>
        <r>
          <rPr>
            <sz val="9"/>
            <color indexed="81"/>
            <rFont val="Tahoma"/>
            <family val="2"/>
          </rPr>
          <t>.
(3) The deduction under sub-section (2), shall not exceed income-tax payable as per the rates provided in section 202(1).</t>
        </r>
      </text>
    </comment>
    <comment ref="AV72" authorId="0" shapeId="0" xr:uid="{E6779D5E-B242-4E6C-BB9A-5AAA37FBDAEF}">
      <text>
        <r>
          <rPr>
            <b/>
            <sz val="9"/>
            <color indexed="81"/>
            <rFont val="Tahoma"/>
            <family val="2"/>
          </rPr>
          <t>Health and Education Cess</t>
        </r>
        <r>
          <rPr>
            <sz val="9"/>
            <color indexed="81"/>
            <rFont val="Tahoma"/>
            <family val="2"/>
          </rPr>
          <t xml:space="preserve"> : 
Health and Education Cess is levied at the rate of </t>
        </r>
        <r>
          <rPr>
            <b/>
            <sz val="9"/>
            <color indexed="81"/>
            <rFont val="Tahoma"/>
            <family val="2"/>
          </rPr>
          <t>4%</t>
        </r>
        <r>
          <rPr>
            <sz val="9"/>
            <color indexed="81"/>
            <rFont val="Tahoma"/>
            <family val="2"/>
          </rPr>
          <t xml:space="preserve"> on the amount of income-tax plus surcharge.</t>
        </r>
      </text>
    </comment>
    <comment ref="AV76" authorId="0" shapeId="0" xr:uid="{371D56BA-EEC8-4857-B3CC-658F112A2BCA}">
      <text>
        <r>
          <rPr>
            <b/>
            <sz val="9"/>
            <color indexed="81"/>
            <rFont val="Tahoma"/>
            <family val="2"/>
          </rPr>
          <t xml:space="preserve">Relief when salary, etc., is paid in arrears or in advance :
</t>
        </r>
        <r>
          <rPr>
            <sz val="9"/>
            <color indexed="81"/>
            <rFont val="Tahoma"/>
            <family val="2"/>
          </rPr>
          <t xml:space="preserve">
</t>
        </r>
        <r>
          <rPr>
            <b/>
            <sz val="9"/>
            <color indexed="81"/>
            <rFont val="Tahoma"/>
            <family val="2"/>
          </rPr>
          <t xml:space="preserve">157. (1) </t>
        </r>
        <r>
          <rPr>
            <sz val="9"/>
            <color indexed="81"/>
            <rFont val="Tahoma"/>
            <family val="2"/>
          </rPr>
          <t>Where the total income of an assessee is assessed at a rate higher than the rate at which it would otherwise have been assessed, due to the following receipts,—
(a) a sum in the nature of arrear or advance salary; or
(b) salary for more than twelve months in any one tax year; or
(c) a payment in the nature of “profits in lieu of salary” under section 18(1); or
(d) arrears of “family pension” as defined in section 93(1)(d),
the Assessing Officer shall on an application made to him by the assessee in this behalf, grant such relief, as prescribed.
(2) No relief shall be granted on any income on which deduction has been claimed by the assessee in section 19(1)(Table: Sl. No. 12) for any amount mentioned therein, for such, or any other, tax year.</t>
        </r>
      </text>
    </comment>
    <comment ref="AV78" authorId="0" shapeId="0" xr:uid="{70FDC08C-97EE-4218-9949-98DDEA74373F}">
      <text>
        <r>
          <rPr>
            <b/>
            <sz val="9"/>
            <color indexed="81"/>
            <rFont val="Tahoma"/>
            <family val="2"/>
          </rPr>
          <t xml:space="preserve">Rounding off of amount of total income, or tax payable or refundable.:
516. </t>
        </r>
        <r>
          <rPr>
            <sz val="9"/>
            <color indexed="81"/>
            <rFont val="Tahoma"/>
            <family val="2"/>
          </rPr>
          <t xml:space="preserve">The amount of total income computed or any amount </t>
        </r>
        <r>
          <rPr>
            <b/>
            <sz val="9"/>
            <color indexed="81"/>
            <rFont val="Tahoma"/>
            <family val="2"/>
          </rPr>
          <t>payable or refundable</t>
        </r>
        <r>
          <rPr>
            <sz val="9"/>
            <color indexed="81"/>
            <rFont val="Tahoma"/>
            <family val="2"/>
          </rPr>
          <t xml:space="preserve"> under this Act, shall be </t>
        </r>
        <r>
          <rPr>
            <b/>
            <sz val="9"/>
            <color indexed="81"/>
            <rFont val="Tahoma"/>
            <family val="2"/>
          </rPr>
          <t>rounded off to the 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 xml:space="preserve">next higher amount </t>
        </r>
        <r>
          <rPr>
            <sz val="9"/>
            <color indexed="81"/>
            <rFont val="Tahoma"/>
            <family val="2"/>
          </rPr>
          <t xml:space="preserve">which is a multiple of ten,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which is a multiple of ten, if the last figure is l</t>
        </r>
        <r>
          <rPr>
            <b/>
            <sz val="9"/>
            <color indexed="81"/>
            <rFont val="Tahoma"/>
            <family val="2"/>
          </rPr>
          <t>ess than five</t>
        </r>
        <r>
          <rPr>
            <sz val="9"/>
            <color indexed="81"/>
            <rFont val="Tahoma"/>
            <family val="2"/>
          </rPr>
          <t>,
and the amount so</t>
        </r>
        <r>
          <rPr>
            <b/>
            <sz val="9"/>
            <color indexed="81"/>
            <rFont val="Tahoma"/>
            <family val="2"/>
          </rPr>
          <t xml:space="preserve"> rounded off shall be deemed</t>
        </r>
        <r>
          <rPr>
            <sz val="9"/>
            <color indexed="81"/>
            <rFont val="Tahoma"/>
            <family val="2"/>
          </rPr>
          <t xml:space="preserve"> to be the total income of the assessee or the a</t>
        </r>
        <r>
          <rPr>
            <b/>
            <sz val="9"/>
            <color indexed="81"/>
            <rFont val="Tahoma"/>
            <family val="2"/>
          </rPr>
          <t>mount payable and refund due</t>
        </r>
        <r>
          <rPr>
            <sz val="9"/>
            <color indexed="81"/>
            <rFont val="Tahoma"/>
            <family val="2"/>
          </rPr>
          <t>, under this Act.</t>
        </r>
      </text>
    </comment>
    <comment ref="AV89" authorId="0" shapeId="0" xr:uid="{29E60E89-1F5A-4A69-9F70-9C9A82A88D50}">
      <text>
        <r>
          <rPr>
            <b/>
            <sz val="9"/>
            <color indexed="81"/>
            <rFont val="Tahoma"/>
            <family val="2"/>
          </rPr>
          <t xml:space="preserve">Rounding off of amount of total income, or tax payable or refundable.:
516. </t>
        </r>
        <r>
          <rPr>
            <sz val="9"/>
            <color indexed="81"/>
            <rFont val="Tahoma"/>
            <family val="2"/>
          </rPr>
          <t xml:space="preserve">The amount of total income computed or </t>
        </r>
        <r>
          <rPr>
            <b/>
            <sz val="9"/>
            <color indexed="81"/>
            <rFont val="Tahoma"/>
            <family val="2"/>
          </rPr>
          <t>any amount payable or refundable</t>
        </r>
        <r>
          <rPr>
            <sz val="9"/>
            <color indexed="81"/>
            <rFont val="Tahoma"/>
            <family val="2"/>
          </rPr>
          <t xml:space="preserve"> under this Act, shall be </t>
        </r>
        <r>
          <rPr>
            <b/>
            <sz val="9"/>
            <color indexed="81"/>
            <rFont val="Tahoma"/>
            <family val="2"/>
          </rPr>
          <t>rounded off to the 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 xml:space="preserve">next higher amount </t>
        </r>
        <r>
          <rPr>
            <sz val="9"/>
            <color indexed="81"/>
            <rFont val="Tahoma"/>
            <family val="2"/>
          </rPr>
          <t xml:space="preserve">which is a </t>
        </r>
        <r>
          <rPr>
            <b/>
            <sz val="9"/>
            <color indexed="81"/>
            <rFont val="Tahoma"/>
            <family val="2"/>
          </rPr>
          <t>multiple of ten</t>
        </r>
        <r>
          <rPr>
            <sz val="9"/>
            <color indexed="81"/>
            <rFont val="Tahoma"/>
            <family val="2"/>
          </rPr>
          <t xml:space="preserve">, if the last figure in that amount is </t>
        </r>
        <r>
          <rPr>
            <b/>
            <sz val="9"/>
            <color indexed="81"/>
            <rFont val="Tahoma"/>
            <family val="2"/>
          </rPr>
          <t>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 xml:space="preserve">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amount so </t>
        </r>
        <r>
          <rPr>
            <b/>
            <sz val="9"/>
            <color indexed="81"/>
            <rFont val="Tahoma"/>
            <family val="2"/>
          </rPr>
          <t>rounded off</t>
        </r>
        <r>
          <rPr>
            <sz val="9"/>
            <color indexed="81"/>
            <rFont val="Tahoma"/>
            <family val="2"/>
          </rPr>
          <t xml:space="preserve"> shall be deemed to be the total income of the assessee or the </t>
        </r>
        <r>
          <rPr>
            <b/>
            <sz val="9"/>
            <color indexed="81"/>
            <rFont val="Tahoma"/>
            <family val="2"/>
          </rPr>
          <t>amount payable and refund due</t>
        </r>
        <r>
          <rPr>
            <sz val="9"/>
            <color indexed="81"/>
            <rFont val="Tahoma"/>
            <family val="2"/>
          </rPr>
          <t>, under this Act.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11" authorId="0" shapeId="0" xr:uid="{A4232A0B-8B2C-47F4-9731-22213BCFE319}">
      <text>
        <r>
          <rPr>
            <b/>
            <sz val="9"/>
            <color indexed="81"/>
            <rFont val="Tahoma"/>
            <family val="2"/>
          </rPr>
          <t>Name:</t>
        </r>
        <r>
          <rPr>
            <sz val="9"/>
            <color indexed="81"/>
            <rFont val="Tahoma"/>
            <family val="2"/>
          </rPr>
          <t xml:space="preserve">
Please ensure to enter Name  in Income Tax Proforma sheet.</t>
        </r>
      </text>
    </comment>
    <comment ref="U20" authorId="0" shapeId="0" xr:uid="{AD337E9B-243D-4407-9007-AA04AE842857}">
      <text>
        <r>
          <rPr>
            <b/>
            <sz val="9"/>
            <color indexed="81"/>
            <rFont val="Tahoma"/>
            <family val="2"/>
          </rPr>
          <t>PAN:</t>
        </r>
        <r>
          <rPr>
            <sz val="9"/>
            <color indexed="81"/>
            <rFont val="Tahoma"/>
            <family val="2"/>
          </rPr>
          <t xml:space="preserve">
Please ensure to enter PAN  in Income Tax Proforma sheet.</t>
        </r>
      </text>
    </comment>
    <comment ref="D45" authorId="0" shapeId="0" xr:uid="{DA283C19-1D48-4BE3-B2E4-B2CB1EE9D58E}">
      <text>
        <r>
          <rPr>
            <b/>
            <sz val="9"/>
            <color indexed="81"/>
            <rFont val="Tahoma"/>
            <family val="2"/>
          </rPr>
          <t>Name:</t>
        </r>
        <r>
          <rPr>
            <sz val="9"/>
            <color indexed="81"/>
            <rFont val="Tahoma"/>
            <family val="2"/>
          </rPr>
          <t xml:space="preserve">
Please ensure to enter Name  in Income Tax Proforma sheet.
</t>
        </r>
      </text>
    </comment>
  </commentList>
</comments>
</file>

<file path=xl/sharedStrings.xml><?xml version="1.0" encoding="utf-8"?>
<sst xmlns="http://schemas.openxmlformats.org/spreadsheetml/2006/main" count="622" uniqueCount="240">
  <si>
    <t>Month</t>
  </si>
  <si>
    <t>Basic Pay</t>
  </si>
  <si>
    <t>DA</t>
  </si>
  <si>
    <t>HRA</t>
  </si>
  <si>
    <t>Total</t>
  </si>
  <si>
    <t>:</t>
  </si>
  <si>
    <t>Verified and forwarded</t>
  </si>
  <si>
    <t>Principal</t>
  </si>
  <si>
    <t>(a)</t>
  </si>
  <si>
    <t>(b)</t>
  </si>
  <si>
    <t>(d)</t>
  </si>
  <si>
    <t>Place</t>
  </si>
  <si>
    <t>Date</t>
  </si>
  <si>
    <t>Name</t>
  </si>
  <si>
    <t>Signature</t>
  </si>
  <si>
    <t>Designation</t>
  </si>
  <si>
    <t>LIC</t>
  </si>
  <si>
    <t>SLI</t>
  </si>
  <si>
    <t>GIS</t>
  </si>
  <si>
    <t>Festival Allowance</t>
  </si>
  <si>
    <t>Created By</t>
  </si>
  <si>
    <t>Suggestions and Feedback</t>
  </si>
  <si>
    <t>Auto filled cell</t>
  </si>
  <si>
    <t>Please fill relevant data</t>
  </si>
  <si>
    <t>September</t>
  </si>
  <si>
    <t>February</t>
  </si>
  <si>
    <t>January</t>
  </si>
  <si>
    <t>December</t>
  </si>
  <si>
    <t>March</t>
  </si>
  <si>
    <t>April</t>
  </si>
  <si>
    <t>May</t>
  </si>
  <si>
    <t>June</t>
  </si>
  <si>
    <t>July</t>
  </si>
  <si>
    <t>August</t>
  </si>
  <si>
    <t>October</t>
  </si>
  <si>
    <t>November</t>
  </si>
  <si>
    <t>Instructions</t>
  </si>
  <si>
    <t>Please fill section number or details</t>
  </si>
  <si>
    <t>FORM 10E</t>
  </si>
  <si>
    <r>
      <t>[</t>
    </r>
    <r>
      <rPr>
        <i/>
        <sz val="12"/>
        <color theme="1"/>
        <rFont val="Arial"/>
        <family val="2"/>
      </rPr>
      <t xml:space="preserve">See </t>
    </r>
    <r>
      <rPr>
        <sz val="12"/>
        <color theme="1"/>
        <rFont val="Arial"/>
        <family val="2"/>
      </rPr>
      <t>rule 21AA]</t>
    </r>
  </si>
  <si>
    <t xml:space="preserve"> university, institution, association or body</t>
  </si>
  <si>
    <t>Permanent Account Number</t>
  </si>
  <si>
    <t xml:space="preserve">Residential status </t>
  </si>
  <si>
    <t>Select</t>
  </si>
  <si>
    <t>Sex</t>
  </si>
  <si>
    <t>Particulars of income referred to in rule 21A of the Income-tax Rules, 1962,</t>
  </si>
  <si>
    <t>Salary received in arrears or in advance in accordance with the provisions of sub-rule (2) of rule 21A</t>
  </si>
  <si>
    <t>NIL</t>
  </si>
  <si>
    <t>(c)</t>
  </si>
  <si>
    <t>Payment in commutation of pension in accordance with the provisions of sub-rule (5) of rule 21A</t>
  </si>
  <si>
    <t>I</t>
  </si>
  <si>
    <t>Signature of the employee</t>
  </si>
  <si>
    <t>Verification</t>
  </si>
  <si>
    <t>I,</t>
  </si>
  <si>
    <t xml:space="preserve">do hereby declare that what is stated above </t>
  </si>
  <si>
    <t>is true to the best of my knowledge and belief.</t>
  </si>
  <si>
    <t>ANNEXURE I</t>
  </si>
  <si>
    <t>[See item 2 of Form No. 10E]</t>
  </si>
  <si>
    <t>ARREARS OR ADVANCE SALARY</t>
  </si>
  <si>
    <t>Total Income (excluding salary received in arrears or advance)</t>
  </si>
  <si>
    <t>Salary received in arrears or advance</t>
  </si>
  <si>
    <t>Total income (as increased by salary received in arrears or advance)                                                                                          [Add item 1 and item 2]</t>
  </si>
  <si>
    <t>Tax on total income (as per item 3)</t>
  </si>
  <si>
    <t>Tax on total income (as per item 1)</t>
  </si>
  <si>
    <t>Tax on salary received in arrears or advance
[Difference of item 4 and item 5]</t>
  </si>
  <si>
    <t>Tax computed in accordance with Table “A”
[Brought from column 7 of Table “A”]</t>
  </si>
  <si>
    <t>TABLE “A”</t>
  </si>
  <si>
    <t>[See item 7 of Annexure I]</t>
  </si>
  <si>
    <t>Total Income of the relevant previous year</t>
  </si>
  <si>
    <r>
      <t>Tax on total income [</t>
    </r>
    <r>
      <rPr>
        <sz val="9"/>
        <color theme="1"/>
        <rFont val="Arial"/>
        <family val="2"/>
      </rPr>
      <t>as per column(2)</t>
    </r>
    <r>
      <rPr>
        <sz val="11"/>
        <color theme="1"/>
        <rFont val="Arial"/>
        <family val="2"/>
      </rPr>
      <t>]</t>
    </r>
  </si>
  <si>
    <r>
      <t>Tax on total income [</t>
    </r>
    <r>
      <rPr>
        <sz val="9"/>
        <color theme="1"/>
        <rFont val="Arial"/>
        <family val="2"/>
      </rPr>
      <t>as per column(4)</t>
    </r>
    <r>
      <rPr>
        <sz val="11"/>
        <color theme="1"/>
        <rFont val="Arial"/>
        <family val="2"/>
      </rPr>
      <t>]</t>
    </r>
  </si>
  <si>
    <r>
      <t>Difference in tax [</t>
    </r>
    <r>
      <rPr>
        <sz val="9"/>
        <color theme="1"/>
        <rFont val="Arial"/>
        <family val="2"/>
      </rPr>
      <t>Amount under column(6) minus amount under column (5)</t>
    </r>
    <r>
      <rPr>
        <sz val="11"/>
        <color theme="1"/>
        <rFont val="Arial"/>
        <family val="2"/>
      </rPr>
      <t>]</t>
    </r>
  </si>
  <si>
    <t xml:space="preserve">TOTAL </t>
  </si>
  <si>
    <t xml:space="preserve">Name of the employee </t>
  </si>
  <si>
    <t>FORM NO. 10E</t>
  </si>
  <si>
    <t>Payment in nature of gratuity in respect of past services, extending over a period of not less than 5 years in accordance with the provisions of sub-rule (3) of rule 21A</t>
  </si>
  <si>
    <t>Payment in nature of compensation from the employer or former employer at or in connection with the termination of employment after continuous service of not less than 3 years or where the unexpired portion of term of employment is not less than 3 years in accordance with the provisions of sub-rule (4) of rule 21A</t>
  </si>
  <si>
    <t>Detailed particulars of payment referred to above may be given in Annexure I, II, IIA, III or IV, as the case may be</t>
  </si>
  <si>
    <t>Salary received in arrears or advance relating to the relevant previous year as mentioned in column (1)</t>
  </si>
  <si>
    <r>
      <t>Total income (</t>
    </r>
    <r>
      <rPr>
        <sz val="9"/>
        <color theme="1"/>
        <rFont val="Arial"/>
        <family val="2"/>
      </rPr>
      <t>as increased by salary received in arrears or advance</t>
    </r>
    <r>
      <rPr>
        <sz val="11"/>
        <color theme="1"/>
        <rFont val="Arial"/>
        <family val="2"/>
      </rPr>
      <t>) of the relevant previous year mentioned in column (1) [</t>
    </r>
    <r>
      <rPr>
        <sz val="9"/>
        <color theme="1"/>
        <rFont val="Arial"/>
        <family val="2"/>
      </rPr>
      <t>Add columns (2) and (3)</t>
    </r>
    <r>
      <rPr>
        <sz val="11"/>
        <color theme="1"/>
        <rFont val="Arial"/>
        <family val="2"/>
      </rPr>
      <t>]</t>
    </r>
  </si>
  <si>
    <t xml:space="preserve">Name of the employee  </t>
  </si>
  <si>
    <t>State</t>
  </si>
  <si>
    <t>PF</t>
  </si>
  <si>
    <t>Salary Arrear to PF</t>
  </si>
  <si>
    <t xml:space="preserve">Income chargeable under the head ‘House Property’ </t>
  </si>
  <si>
    <t>Interest from Income Tax Refund</t>
  </si>
  <si>
    <t>Any Other</t>
  </si>
  <si>
    <t>Amount</t>
  </si>
  <si>
    <t>System Calculated</t>
  </si>
  <si>
    <t>…………………………………………………</t>
  </si>
  <si>
    <t>Self and Family</t>
  </si>
  <si>
    <t>Parents</t>
  </si>
  <si>
    <t>Total Deductions</t>
  </si>
  <si>
    <t>Payment Mode</t>
  </si>
  <si>
    <t>Health Insurance -</t>
  </si>
  <si>
    <t>Medical Expenditure -</t>
  </si>
  <si>
    <t>a. Tax Payable on Total Income (8)</t>
  </si>
  <si>
    <t>9. Computation of Tax Payable</t>
  </si>
  <si>
    <t>TDS</t>
  </si>
  <si>
    <t>VERIFICATION</t>
  </si>
  <si>
    <t>son/daughter of,</t>
  </si>
  <si>
    <t>, solemnly declare</t>
  </si>
  <si>
    <t xml:space="preserve">that to the best of my knowledge and belief, the information given above is correct and complete and is in </t>
  </si>
  <si>
    <t>.</t>
  </si>
  <si>
    <t xml:space="preserve">I am holding permanent account number </t>
  </si>
  <si>
    <t>PAN No</t>
  </si>
  <si>
    <t>Town / City / District</t>
  </si>
  <si>
    <t>Area / Locality</t>
  </si>
  <si>
    <t>Road / Street /Post Office</t>
  </si>
  <si>
    <t>Flat / Door / Block No</t>
  </si>
  <si>
    <t>Name of premises / Building / Village</t>
  </si>
  <si>
    <t>d. Health and Education Cess @4% on Tax payable after Rebate (c)</t>
  </si>
  <si>
    <t>Pension Scheme</t>
  </si>
  <si>
    <t>Father's Name</t>
  </si>
  <si>
    <t>No</t>
  </si>
  <si>
    <t>Prepared by Libin Kuriakose, St. Thomas College, Palai</t>
  </si>
  <si>
    <t>Interest Income from Savings Bank Accounts in India</t>
  </si>
  <si>
    <t>Preventive Health Checkup</t>
  </si>
  <si>
    <t xml:space="preserve"> </t>
  </si>
  <si>
    <t/>
  </si>
  <si>
    <t>Ph:9645260864, email: libinkuriakose@gmail.com</t>
  </si>
  <si>
    <t>Dr. Libin Kuriakose</t>
  </si>
  <si>
    <r>
      <t xml:space="preserve">Income Tax Calculator in                  </t>
    </r>
    <r>
      <rPr>
        <b/>
        <i/>
        <sz val="14"/>
        <color rgb="FFFF0000"/>
        <rFont val="Times New Roman"/>
        <family val="1"/>
      </rPr>
      <t>New Regime of Tax Slab</t>
    </r>
  </si>
  <si>
    <t>Please use this Microsoft Excel Utility in MS-Excel 2007 or later versions.</t>
  </si>
  <si>
    <t>libin kuriakose stc pala</t>
  </si>
  <si>
    <t>libin kuriakose stcpala</t>
  </si>
  <si>
    <t>Please fill/select relevant data</t>
  </si>
  <si>
    <t>Select Donation Type</t>
  </si>
  <si>
    <t>1. Net Salary (A1 + A2 - A3)</t>
  </si>
  <si>
    <t>Earned Leave Encashment</t>
  </si>
  <si>
    <t>Leave Travel Concession</t>
  </si>
  <si>
    <t>8. Total Income (7 - 6)</t>
  </si>
  <si>
    <t>c. Tax payable after Rebate (a - b)</t>
  </si>
  <si>
    <r>
      <t>Please ensure that data required in the "</t>
    </r>
    <r>
      <rPr>
        <b/>
        <i/>
        <sz val="14"/>
        <color rgb="FFFF0000"/>
        <rFont val="Times New Roman"/>
        <family val="1"/>
      </rPr>
      <t>Basic Information</t>
    </r>
    <r>
      <rPr>
        <b/>
        <i/>
        <sz val="14"/>
        <color theme="1"/>
        <rFont val="Times New Roman"/>
        <family val="1"/>
      </rPr>
      <t>" sheet are filled before selecting this sheet.</t>
    </r>
  </si>
  <si>
    <r>
      <t>Please ensure that the "</t>
    </r>
    <r>
      <rPr>
        <b/>
        <i/>
        <sz val="14"/>
        <color rgb="FFFF0000"/>
        <rFont val="Times New Roman"/>
        <family val="1"/>
      </rPr>
      <t>Basic Information</t>
    </r>
    <r>
      <rPr>
        <b/>
        <i/>
        <sz val="14"/>
        <color theme="1"/>
        <rFont val="Times New Roman"/>
        <family val="1"/>
      </rPr>
      <t xml:space="preserve"> and </t>
    </r>
    <r>
      <rPr>
        <b/>
        <i/>
        <sz val="14"/>
        <color rgb="FFFF0000"/>
        <rFont val="Times New Roman"/>
        <family val="1"/>
      </rPr>
      <t>Income Tax Proforma - Old Schem</t>
    </r>
    <r>
      <rPr>
        <b/>
        <i/>
        <sz val="14"/>
        <color theme="1"/>
        <rFont val="Times New Roman"/>
        <family val="1"/>
      </rPr>
      <t>" sheets are filled before selecting this sheet.</t>
    </r>
  </si>
  <si>
    <r>
      <t>Please ensure that the "</t>
    </r>
    <r>
      <rPr>
        <b/>
        <i/>
        <sz val="14"/>
        <color rgb="FFFF0000"/>
        <rFont val="Times New Roman"/>
        <family val="1"/>
      </rPr>
      <t>Basic Information,  Income Tax Proforma - Old Schem,</t>
    </r>
    <r>
      <rPr>
        <b/>
        <i/>
        <sz val="14"/>
        <color theme="1"/>
        <rFont val="Times New Roman"/>
        <family val="1"/>
      </rPr>
      <t xml:space="preserve"> and </t>
    </r>
    <r>
      <rPr>
        <b/>
        <i/>
        <sz val="14"/>
        <color rgb="FFFF0000"/>
        <rFont val="Times New Roman"/>
        <family val="1"/>
      </rPr>
      <t>Form 10E - Old Scheme</t>
    </r>
    <r>
      <rPr>
        <b/>
        <i/>
        <sz val="14"/>
        <color theme="1"/>
        <rFont val="Times New Roman"/>
        <family val="1"/>
      </rPr>
      <t>" sheets are filled before selecting this sheet.</t>
    </r>
  </si>
  <si>
    <t>Address</t>
  </si>
  <si>
    <t>Pincode</t>
  </si>
  <si>
    <t>Is anyone of your parents a senior citizen?</t>
  </si>
  <si>
    <t>Any other Allowances</t>
  </si>
  <si>
    <t>Arrear 1</t>
  </si>
  <si>
    <t>Arrear 2</t>
  </si>
  <si>
    <r>
      <t xml:space="preserve">Income Tax Calculator in </t>
    </r>
    <r>
      <rPr>
        <b/>
        <i/>
        <sz val="14"/>
        <color rgb="FFFF0000"/>
        <rFont val="Times New Roman"/>
        <family val="1"/>
      </rPr>
      <t>Old Regime of Tax Slab</t>
    </r>
    <r>
      <rPr>
        <b/>
        <sz val="14"/>
        <color rgb="FFFF0000"/>
        <rFont val="Times New Roman"/>
        <family val="1"/>
      </rPr>
      <t xml:space="preserve"> for the preparation of Form No. 10E</t>
    </r>
  </si>
  <si>
    <r>
      <t xml:space="preserve">Income Tax Calculator in </t>
    </r>
    <r>
      <rPr>
        <b/>
        <i/>
        <sz val="14"/>
        <color rgb="FFFF0000"/>
        <rFont val="Times New Roman"/>
        <family val="1"/>
      </rPr>
      <t>New Regime of Tax Slab</t>
    </r>
    <r>
      <rPr>
        <b/>
        <sz val="14"/>
        <color rgb="FFFF0000"/>
        <rFont val="Times New Roman"/>
        <family val="1"/>
      </rPr>
      <t xml:space="preserve"> for the preparation of Form No. 10E</t>
    </r>
  </si>
  <si>
    <t>MEDISEP</t>
  </si>
  <si>
    <t>Assistant Professor - Level 10</t>
  </si>
  <si>
    <t>Assistant Professor - Level 11</t>
  </si>
  <si>
    <t>Assistant Professor - Level 12</t>
  </si>
  <si>
    <t>Associate Professor - Level 13A</t>
  </si>
  <si>
    <t>Professor - Level 14</t>
  </si>
  <si>
    <t>Professor - Level 15</t>
  </si>
  <si>
    <t>College Librarian - Level 10</t>
  </si>
  <si>
    <t>College Librarian - Level 12</t>
  </si>
  <si>
    <t>College Librarian - Level 13A</t>
  </si>
  <si>
    <t>College Librarian - Level 11</t>
  </si>
  <si>
    <t>8. Computation of Tax Payable</t>
  </si>
  <si>
    <t>7. Total Income (5 - 6)</t>
  </si>
  <si>
    <t>2025-2026</t>
  </si>
  <si>
    <r>
      <t xml:space="preserve">Income Tax Calculator in                 
</t>
    </r>
    <r>
      <rPr>
        <b/>
        <i/>
        <sz val="14"/>
        <color rgb="FFFF0000"/>
        <rFont val="Times New Roman"/>
        <family val="1"/>
      </rPr>
      <t>Old Regime of Tax Slab</t>
    </r>
  </si>
  <si>
    <t>Have you opted for the Old Tax Regime for the TY 2023-2024?</t>
  </si>
  <si>
    <t>Have you opted for the Old Tax Regime for the TY 2024-2025?</t>
  </si>
  <si>
    <t>FOR THE TAX YEAR  2025  –  2026</t>
  </si>
  <si>
    <t>a. Sec 11(1)-III(8) - Leave Travel Concession/Assistance</t>
  </si>
  <si>
    <t>2. Deductions u/s 19</t>
  </si>
  <si>
    <t>b. Sec 11(1)-III(11) - Allowance to meet expenditure incurred on house rent</t>
  </si>
  <si>
    <t>a. Tax on Employment u/s 19(1)-1</t>
  </si>
  <si>
    <t>b. Standard Deduction u/s 19(1)-2(b)</t>
  </si>
  <si>
    <t>3. Income chargeable under the head "Salaries" u/s 16 (1 - 2)</t>
  </si>
  <si>
    <t>4. House Property - Self Occupied - Income from House Property u/s 20</t>
  </si>
  <si>
    <t>Interest payable on borrowed capital u/s 22(2)</t>
  </si>
  <si>
    <t>Interest Income from Time Deposits in Bank /Post Office /Cooperative Society in India</t>
  </si>
  <si>
    <t>5. Income from Other Sources u/s 92</t>
  </si>
  <si>
    <t>7. Investment / Deposit / Payments for the purpose of claiming deduction under Chapter VIII and other deductions</t>
  </si>
  <si>
    <t xml:space="preserve">124(1) - The employer's contribution to a pension scheme notified by the Central Government. </t>
  </si>
  <si>
    <t>123 - Provident Fund</t>
  </si>
  <si>
    <t>123 - Salary Arrear to Provident Fund</t>
  </si>
  <si>
    <t>123 - SLI</t>
  </si>
  <si>
    <t>123 - GIS</t>
  </si>
  <si>
    <t>123 - Jeevan Raksha Padhathi (GPAIS)</t>
  </si>
  <si>
    <t>123 - Life Insurance Premium - Monthly</t>
  </si>
  <si>
    <t xml:space="preserve">123 - Life Insurance Premium </t>
  </si>
  <si>
    <t>123 - Home Loan Principal</t>
  </si>
  <si>
    <t>123 - Tuition Fees</t>
  </si>
  <si>
    <t xml:space="preserve">124(5)  - Contribution to a pension scheme notified by the Central Government. </t>
  </si>
  <si>
    <t>124(10)  - Contribution to a pension scheme notified by the Central Government.</t>
  </si>
  <si>
    <t>126 -  Deduction in respect of Health Insurance premia</t>
  </si>
  <si>
    <t>126 - Eligible Amount of Deduction</t>
  </si>
  <si>
    <t>127 - Maintenance including medical treatment of a dependent who is a person with disability</t>
  </si>
  <si>
    <t>128 - Medical treatment of specified disease</t>
  </si>
  <si>
    <t>129 - Interest on loan taken for higher education</t>
  </si>
  <si>
    <t>130 - Interest on loan taken for residential house property - the loan has been sanctioned during 01/04/2016 to 31/03/2017</t>
  </si>
  <si>
    <t>131 - Interest on loan taken for certain house property - the loan has been sanctioned during 01/04/2019 to 31/03/2022</t>
  </si>
  <si>
    <r>
      <t xml:space="preserve">133 - </t>
    </r>
    <r>
      <rPr>
        <sz val="9"/>
        <color theme="1"/>
        <rFont val="Times New Roman"/>
        <family val="1"/>
      </rPr>
      <t xml:space="preserve">Donations to certain funds, charitable institutions, </t>
    </r>
    <r>
      <rPr>
        <sz val="8"/>
        <color theme="1"/>
        <rFont val="Source Sans Pro"/>
        <family val="2"/>
      </rPr>
      <t>CMDRF</t>
    </r>
    <r>
      <rPr>
        <sz val="9"/>
        <color theme="1"/>
        <rFont val="Times New Roman"/>
        <family val="1"/>
      </rPr>
      <t xml:space="preserve"> etc.</t>
    </r>
  </si>
  <si>
    <t>132 - Interest in respect of purchase of electric vehicle  - the loan has been sanctioned during 01/04/2019 to 31/03/2023</t>
  </si>
  <si>
    <t>134 - House Rent paid</t>
  </si>
  <si>
    <t>135 - Certain donations for scientific research or rural development</t>
  </si>
  <si>
    <t>137 - Donation to Political party</t>
  </si>
  <si>
    <r>
      <t xml:space="preserve">151 - </t>
    </r>
    <r>
      <rPr>
        <sz val="8.5"/>
        <color theme="1"/>
        <rFont val="Times New Roman"/>
        <family val="1"/>
      </rPr>
      <t>Royalty income, etc., of authors of certain books other than text-books.</t>
    </r>
  </si>
  <si>
    <t>152 - Royalty on patents</t>
  </si>
  <si>
    <t>153 - Interest on deposits in saving bank Accounts</t>
  </si>
  <si>
    <t>154 - In case of a person with disability</t>
  </si>
  <si>
    <t>b. Rebate u/s 156(1)</t>
  </si>
  <si>
    <t>f. Relief u/s 157(1) (Please ensure to submit Form 10E to claim this relief)</t>
  </si>
  <si>
    <t>11. Details of Tax Deducted / Details of Tax to be Deducted u/s 390 &amp; 392</t>
  </si>
  <si>
    <t>6. Gross Total Income (3 + 4 + 5) u/s 122(10)</t>
  </si>
  <si>
    <t>123 - Aggregate of Deductions Enumerated in Schedule XV</t>
  </si>
  <si>
    <t>e. Total Tax and Cess (c + d)</t>
  </si>
  <si>
    <t xml:space="preserve">124(3) &amp; 124(4) - Contribution to a pension scheme notified by the Central Government. </t>
  </si>
  <si>
    <t>libin</t>
  </si>
  <si>
    <t xml:space="preserve">Form for furnishing particulars of income under section 392(4)(a) for the year ending </t>
  </si>
  <si>
    <t>servant or an employee in a company, co-operative society, local authority,</t>
  </si>
  <si>
    <t>Previous Tax Year(s)</t>
  </si>
  <si>
    <r>
      <t xml:space="preserve">A3. Less allowances to the extent exempt u/s 11 </t>
    </r>
    <r>
      <rPr>
        <b/>
        <sz val="9"/>
        <color theme="1"/>
        <rFont val="Times New Roman"/>
        <family val="1"/>
      </rPr>
      <t>(Ensure that it is included in salary income u/s 16)</t>
    </r>
  </si>
  <si>
    <t>a. Standard Deduction u/s 19(1)-2(a)</t>
  </si>
  <si>
    <t>Have you opted for the New Tax Regime u/s 202. (1) for the TY 2020-2021?</t>
  </si>
  <si>
    <t>Have you opted for the New Tax Regime u/s 202. (1) for the TY 2021-2022?</t>
  </si>
  <si>
    <t>Have you opted for the New Tax Regime u/s 202. (1) for the TY 2022-2023?</t>
  </si>
  <si>
    <t>4. Income from Other Sources u/s 92</t>
  </si>
  <si>
    <t>5. Gross Total Income (3 + 4) u/s 122(10)</t>
  </si>
  <si>
    <t>6. Investment / Deposit / Payments for the purpose of claiming deduction under Chapter VIII and other deductions</t>
  </si>
  <si>
    <t>124(1) - The employer's contribution to a pension scheme notified by the Central Government.</t>
  </si>
  <si>
    <t>a. Tax Payable on Total Income (7) u/s 202(1)</t>
  </si>
  <si>
    <t>b. Rebate u/s 156(2)</t>
  </si>
  <si>
    <t>10. Details of Tax Deducted / Details of Tax to be Deducted u/s 390 &amp; 392</t>
  </si>
  <si>
    <t>Form for furnishing particulars of income under section 392(4)(a) for the year ending</t>
  </si>
  <si>
    <t xml:space="preserve"> during the previous year relevant to Tax Year </t>
  </si>
  <si>
    <t>Relief under section 157(1)
[Indicate the difference between the amounts mentioned against items 6 and 7]</t>
  </si>
  <si>
    <t xml:space="preserve">31st March 2026, for claiming relief under section 157 by a Government </t>
  </si>
  <si>
    <r>
      <t>31</t>
    </r>
    <r>
      <rPr>
        <vertAlign val="superscript"/>
        <sz val="12"/>
        <color theme="1"/>
        <rFont val="Arial"/>
        <family val="2"/>
      </rPr>
      <t>st</t>
    </r>
    <r>
      <rPr>
        <sz val="12"/>
        <color theme="1"/>
        <rFont val="Arial"/>
        <family val="2"/>
      </rPr>
      <t xml:space="preserve"> March 2026, for claiming relief under section 157 by a Government </t>
    </r>
  </si>
  <si>
    <t>A1. Salary Statement u/s 15/16/17:</t>
  </si>
  <si>
    <t>A2. Salary Arrear Statement u/s 15 (1)(c) :</t>
  </si>
  <si>
    <t>Gross Salary u/s 15/16/17 (A1 + A2)</t>
  </si>
  <si>
    <t>1. Net Salary u/s 15/16/17 (A1 + A2)</t>
  </si>
  <si>
    <t>accordance with the provisions of the Income-tax Act, 2025.</t>
  </si>
  <si>
    <t>Name of Your Organization/Office</t>
  </si>
  <si>
    <t>Official Designation of the Head of Your Organization/Office</t>
  </si>
  <si>
    <t>Income Tax Calculator in the old and new tax regime with form 10E for the TY 2025–2026.</t>
  </si>
  <si>
    <t>Is the property being acquired or constructed and occupied by the owner for their own residence, or is the owner unable to occupy it for any reason, as per Section 22(2)(a)?</t>
  </si>
  <si>
    <r>
      <rPr>
        <b/>
        <sz val="14"/>
        <color rgb="FF00B050"/>
        <rFont val="Comic Sans MS"/>
        <family val="4"/>
      </rPr>
      <t>Created By</t>
    </r>
    <r>
      <rPr>
        <b/>
        <sz val="14"/>
        <rFont val="Comic Sans MS"/>
        <family val="4"/>
      </rPr>
      <t xml:space="preserve"> : Dr. Libin Kuriakose, 
</t>
    </r>
    <r>
      <rPr>
        <b/>
        <sz val="10"/>
        <rFont val="Comic Sans MS"/>
        <family val="4"/>
      </rPr>
      <t>AKPCTA Working Committee Member/
Associate Professor, Department of Physics,
St. Thomas College, Palai.</t>
    </r>
  </si>
  <si>
    <t>PROFORMA FOR CALCULATION OF INCOME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</si>
</sst>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164" formatCode="_ * #,##0_-[$₹-44D]_ ;_ * #,##0\-[$₹-44D]_ ;_ * &quot;-&quot;_-[$₹-44D]_ ;_ @_ "/>
    <numFmt numFmtId="165" formatCode=";;;"/>
    <numFmt numFmtId="166" formatCode="_ [$₹-4009]\ * #,##0_ ;_ [$₹-4009]\ * \-#,##0_ ;_ [$₹-4009]\ * &quot;-&quot;_ ;_ @_ "/>
  </numFmts>
  <fonts count="85" x14ac:knownFonts="1">
    <font>
      <sz val="11"/>
      <color theme="1"/>
      <name val="Calibri"/>
      <family val="2"/>
      <scheme val="minor"/>
    </font>
    <font>
      <b/>
      <sz val="14"/>
      <color theme="1"/>
      <name val="Arial"/>
      <family val="2"/>
    </font>
    <font>
      <sz val="11"/>
      <color theme="1"/>
      <name val="Arial"/>
      <family val="2"/>
    </font>
    <font>
      <b/>
      <sz val="11"/>
      <color theme="1"/>
      <name val="Arial"/>
      <family val="2"/>
    </font>
    <font>
      <sz val="9"/>
      <color theme="1"/>
      <name val="Arial"/>
      <family val="2"/>
    </font>
    <font>
      <b/>
      <sz val="10"/>
      <color theme="1"/>
      <name val="Arial"/>
      <family val="2"/>
    </font>
    <font>
      <sz val="9"/>
      <color indexed="81"/>
      <name val="Tahoma"/>
      <family val="2"/>
    </font>
    <font>
      <b/>
      <sz val="9"/>
      <color indexed="81"/>
      <name val="Tahoma"/>
      <family val="2"/>
    </font>
    <font>
      <b/>
      <sz val="11"/>
      <color theme="1"/>
      <name val="Calibri"/>
      <family val="2"/>
      <scheme val="minor"/>
    </font>
    <font>
      <sz val="16"/>
      <color theme="1"/>
      <name val="Monotype Corsiva"/>
      <family val="4"/>
    </font>
    <font>
      <sz val="10"/>
      <color theme="1"/>
      <name val="Calibri"/>
      <family val="2"/>
      <scheme val="minor"/>
    </font>
    <font>
      <sz val="11"/>
      <color rgb="FFFF0000"/>
      <name val="Calibri"/>
      <family val="2"/>
      <scheme val="minor"/>
    </font>
    <font>
      <sz val="12"/>
      <color theme="1"/>
      <name val="Arial"/>
      <family val="2"/>
    </font>
    <font>
      <i/>
      <sz val="12"/>
      <color theme="1"/>
      <name val="Arial"/>
      <family val="2"/>
    </font>
    <font>
      <sz val="16"/>
      <name val="Monotype Corsiva"/>
      <family val="4"/>
    </font>
    <font>
      <i/>
      <sz val="11"/>
      <color theme="1"/>
      <name val="Arial"/>
      <family val="2"/>
    </font>
    <font>
      <b/>
      <i/>
      <sz val="11"/>
      <color theme="1"/>
      <name val="Arial"/>
      <family val="2"/>
    </font>
    <font>
      <b/>
      <sz val="9"/>
      <color theme="1"/>
      <name val="Arial"/>
      <family val="2"/>
    </font>
    <font>
      <vertAlign val="superscript"/>
      <sz val="12"/>
      <color theme="1"/>
      <name val="Arial"/>
      <family val="2"/>
    </font>
    <font>
      <sz val="11"/>
      <color theme="1"/>
      <name val="Times New Roman"/>
      <family val="1"/>
    </font>
    <font>
      <sz val="10"/>
      <color theme="1"/>
      <name val="Times New Roman"/>
      <family val="1"/>
    </font>
    <font>
      <b/>
      <sz val="14"/>
      <color theme="1"/>
      <name val="Times New Roman"/>
      <family val="1"/>
    </font>
    <font>
      <b/>
      <sz val="14"/>
      <color rgb="FF000000"/>
      <name val="Times New Roman"/>
      <family val="1"/>
    </font>
    <font>
      <b/>
      <sz val="11"/>
      <color theme="1"/>
      <name val="Times New Roman"/>
      <family val="1"/>
    </font>
    <font>
      <sz val="9"/>
      <color theme="1"/>
      <name val="Times New Roman"/>
      <family val="1"/>
    </font>
    <font>
      <sz val="10.5"/>
      <color theme="1"/>
      <name val="Times New Roman"/>
      <family val="1"/>
    </font>
    <font>
      <sz val="10.5"/>
      <color theme="1"/>
      <name val="Calibri"/>
      <family val="2"/>
      <scheme val="minor"/>
    </font>
    <font>
      <sz val="14"/>
      <color theme="1"/>
      <name val="Times New Roman"/>
      <family val="1"/>
    </font>
    <font>
      <b/>
      <sz val="14"/>
      <color theme="1"/>
      <name val="Comic Sans MS"/>
      <family val="4"/>
    </font>
    <font>
      <sz val="14"/>
      <color theme="1"/>
      <name val="Comic Sans MS"/>
      <family val="4"/>
    </font>
    <font>
      <b/>
      <sz val="11"/>
      <color rgb="FFFF0000"/>
      <name val="Times New Roman"/>
      <family val="1"/>
    </font>
    <font>
      <b/>
      <sz val="10.5"/>
      <color theme="1"/>
      <name val="Times New Roman"/>
      <family val="1"/>
    </font>
    <font>
      <b/>
      <sz val="11"/>
      <color rgb="FFFF0000"/>
      <name val="Comic Sans MS"/>
      <family val="4"/>
    </font>
    <font>
      <b/>
      <sz val="13.5"/>
      <color theme="1"/>
      <name val="Times New Roman"/>
      <family val="1"/>
    </font>
    <font>
      <sz val="13.5"/>
      <color theme="1"/>
      <name val="Calibri"/>
      <family val="2"/>
      <scheme val="minor"/>
    </font>
    <font>
      <b/>
      <sz val="10"/>
      <color rgb="FFFF0000"/>
      <name val="Arial"/>
      <family val="2"/>
    </font>
    <font>
      <b/>
      <sz val="9"/>
      <color rgb="FFFF0000"/>
      <name val="Arial"/>
      <family val="2"/>
    </font>
    <font>
      <b/>
      <sz val="10"/>
      <color rgb="FFFF0000"/>
      <name val="Calibri"/>
      <family val="2"/>
      <scheme val="minor"/>
    </font>
    <font>
      <b/>
      <sz val="10.8"/>
      <color theme="1"/>
      <name val="Times New Roman"/>
      <family val="1"/>
    </font>
    <font>
      <sz val="13.5"/>
      <color theme="1"/>
      <name val="Times New Roman"/>
      <family val="1"/>
    </font>
    <font>
      <sz val="10.8"/>
      <color theme="1"/>
      <name val="Times New Roman"/>
      <family val="1"/>
    </font>
    <font>
      <b/>
      <sz val="10"/>
      <color theme="1"/>
      <name val="Times New Roman"/>
      <family val="1"/>
    </font>
    <font>
      <b/>
      <sz val="9"/>
      <color theme="1"/>
      <name val="Times New Roman"/>
      <family val="1"/>
    </font>
    <font>
      <b/>
      <sz val="18"/>
      <color theme="1"/>
      <name val="Comic Sans MS"/>
      <family val="4"/>
    </font>
    <font>
      <sz val="11"/>
      <color theme="1"/>
      <name val="Comic Sans MS"/>
      <family val="4"/>
    </font>
    <font>
      <sz val="16"/>
      <color theme="1"/>
      <name val="Comic Sans MS"/>
      <family val="4"/>
    </font>
    <font>
      <b/>
      <i/>
      <sz val="14"/>
      <color theme="1"/>
      <name val="Times New Roman"/>
      <family val="1"/>
    </font>
    <font>
      <b/>
      <i/>
      <sz val="14"/>
      <color rgb="FFFF0000"/>
      <name val="Times New Roman"/>
      <family val="1"/>
    </font>
    <font>
      <b/>
      <i/>
      <sz val="14"/>
      <color theme="1"/>
      <name val="Calibri"/>
      <family val="2"/>
      <scheme val="minor"/>
    </font>
    <font>
      <b/>
      <sz val="14"/>
      <color rgb="FFFF0000"/>
      <name val="Times New Roman"/>
      <family val="1"/>
    </font>
    <font>
      <sz val="14"/>
      <color rgb="FFFF0000"/>
      <name val="Times New Roman"/>
      <family val="1"/>
    </font>
    <font>
      <b/>
      <sz val="12"/>
      <color theme="1"/>
      <name val="Calibri"/>
      <family val="2"/>
      <scheme val="minor"/>
    </font>
    <font>
      <b/>
      <sz val="12"/>
      <color theme="1"/>
      <name val="Comic Sans MS"/>
      <family val="4"/>
    </font>
    <font>
      <b/>
      <i/>
      <sz val="16"/>
      <color theme="1"/>
      <name val="Comic Sans MS"/>
      <family val="4"/>
    </font>
    <font>
      <i/>
      <sz val="16"/>
      <color theme="1"/>
      <name val="Calibri"/>
      <family val="2"/>
      <scheme val="minor"/>
    </font>
    <font>
      <sz val="14"/>
      <color theme="1"/>
      <name val="Calibri"/>
      <family val="2"/>
      <scheme val="minor"/>
    </font>
    <font>
      <sz val="16"/>
      <color theme="1"/>
      <name val="Calibri"/>
      <family val="2"/>
      <scheme val="minor"/>
    </font>
    <font>
      <b/>
      <sz val="18"/>
      <color theme="1"/>
      <name val="Calibri"/>
      <family val="2"/>
      <scheme val="minor"/>
    </font>
    <font>
      <i/>
      <sz val="14"/>
      <color theme="1"/>
      <name val="Times New Roman"/>
      <family val="1"/>
    </font>
    <font>
      <sz val="18"/>
      <color theme="1"/>
      <name val="Comic Sans MS"/>
      <family val="4"/>
    </font>
    <font>
      <b/>
      <sz val="11"/>
      <color rgb="FF7030A0"/>
      <name val="Comic Sans MS"/>
      <family val="4"/>
    </font>
    <font>
      <sz val="11"/>
      <color rgb="FF7030A0"/>
      <name val="Calibri"/>
      <family val="2"/>
      <scheme val="minor"/>
    </font>
    <font>
      <b/>
      <sz val="14"/>
      <name val="Comic Sans MS"/>
      <family val="4"/>
    </font>
    <font>
      <b/>
      <i/>
      <sz val="16"/>
      <color rgb="FF00B050"/>
      <name val="Comic Sans MS"/>
      <family val="4"/>
    </font>
    <font>
      <b/>
      <sz val="14"/>
      <color rgb="FF00B050"/>
      <name val="Comic Sans MS"/>
      <family val="4"/>
    </font>
    <font>
      <b/>
      <sz val="18"/>
      <color rgb="FF00B050"/>
      <name val="Comic Sans MS"/>
      <family val="4"/>
    </font>
    <font>
      <sz val="11"/>
      <color rgb="FF00B050"/>
      <name val="Comic Sans MS"/>
      <family val="4"/>
    </font>
    <font>
      <b/>
      <sz val="18"/>
      <color rgb="FF00B050"/>
      <name val="Calibri"/>
      <family val="2"/>
      <scheme val="minor"/>
    </font>
    <font>
      <b/>
      <sz val="10"/>
      <color theme="1"/>
      <name val="Calibri"/>
      <family val="2"/>
      <scheme val="minor"/>
    </font>
    <font>
      <b/>
      <sz val="10"/>
      <color rgb="FFFF0000"/>
      <name val="Times New Roman"/>
      <family val="1"/>
    </font>
    <font>
      <b/>
      <sz val="11"/>
      <color rgb="FFFF0000"/>
      <name val="Calibri"/>
      <family val="2"/>
      <scheme val="minor"/>
    </font>
    <font>
      <sz val="8"/>
      <color theme="1"/>
      <name val="Source Sans Pro"/>
      <family val="2"/>
    </font>
    <font>
      <b/>
      <sz val="10.5"/>
      <color rgb="FFFF0000"/>
      <name val="Times New Roman"/>
      <family val="1"/>
    </font>
    <font>
      <sz val="9"/>
      <color theme="1"/>
      <name val="Calibri"/>
      <family val="2"/>
      <scheme val="minor"/>
    </font>
    <font>
      <b/>
      <sz val="10"/>
      <name val="Comic Sans MS"/>
      <family val="4"/>
    </font>
    <font>
      <sz val="10.5"/>
      <color rgb="FFFF0000"/>
      <name val="Calibri"/>
      <family val="2"/>
      <scheme val="minor"/>
    </font>
    <font>
      <b/>
      <sz val="9"/>
      <color theme="1"/>
      <name val="Calibri"/>
      <family val="2"/>
      <scheme val="minor"/>
    </font>
    <font>
      <b/>
      <sz val="9.5"/>
      <color theme="1"/>
      <name val="Times New Roman"/>
      <family val="1"/>
    </font>
    <font>
      <b/>
      <sz val="9.5"/>
      <color theme="1"/>
      <name val="Calibri"/>
      <family val="2"/>
      <scheme val="minor"/>
    </font>
    <font>
      <sz val="9.5"/>
      <color theme="1"/>
      <name val="Times New Roman"/>
      <family val="1"/>
    </font>
    <font>
      <sz val="9.8000000000000007"/>
      <color theme="1"/>
      <name val="Times New Roman"/>
      <family val="1"/>
    </font>
    <font>
      <sz val="9.8000000000000007"/>
      <color theme="1"/>
      <name val="Calibri"/>
      <family val="2"/>
      <scheme val="minor"/>
    </font>
    <font>
      <sz val="8.5"/>
      <color theme="1"/>
      <name val="Times New Roman"/>
      <family val="1"/>
    </font>
    <font>
      <sz val="10"/>
      <color rgb="FFFF0000"/>
      <name val="Calibri"/>
      <family val="2"/>
      <scheme val="minor"/>
    </font>
    <font>
      <sz val="8.5"/>
      <color theme="1"/>
      <name val="Calibri"/>
      <family val="2"/>
      <scheme val="minor"/>
    </font>
  </fonts>
  <fills count="12">
    <fill>
      <patternFill patternType="none"/>
    </fill>
    <fill>
      <patternFill patternType="gray125"/>
    </fill>
    <fill>
      <patternFill patternType="solid">
        <fgColor theme="9" tint="0.59996337778862885"/>
        <bgColor indexed="64"/>
      </patternFill>
    </fill>
    <fill>
      <patternFill patternType="solid">
        <fgColor rgb="FF00B0F0"/>
        <bgColor indexed="64"/>
      </patternFill>
    </fill>
    <fill>
      <patternFill patternType="solid">
        <fgColor theme="9" tint="-0.24994659260841701"/>
        <bgColor indexed="64"/>
      </patternFill>
    </fill>
    <fill>
      <patternFill patternType="solid">
        <fgColor theme="5" tint="0.39994506668294322"/>
        <bgColor indexed="64"/>
      </patternFill>
    </fill>
    <fill>
      <patternFill patternType="solid">
        <fgColor rgb="FF00B050"/>
        <bgColor indexed="64"/>
      </patternFill>
    </fill>
    <fill>
      <patternFill patternType="solid">
        <fgColor theme="3" tint="0.79998168889431442"/>
        <bgColor indexed="64"/>
      </patternFill>
    </fill>
    <fill>
      <patternFill patternType="solid">
        <fgColor theme="8" tint="0.59996337778862885"/>
        <bgColor indexed="64"/>
      </patternFill>
    </fill>
    <fill>
      <patternFill patternType="solid">
        <fgColor theme="3" tint="0.59996337778862885"/>
        <bgColor indexed="64"/>
      </patternFill>
    </fill>
    <fill>
      <patternFill patternType="solid">
        <fgColor theme="9"/>
        <bgColor indexed="64"/>
      </patternFill>
    </fill>
    <fill>
      <patternFill patternType="solid">
        <fgColor rgb="FFC5D9F1"/>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hair">
        <color auto="1"/>
      </top>
      <bottom/>
      <diagonal/>
    </border>
    <border>
      <left style="thin">
        <color auto="1"/>
      </left>
      <right style="thin">
        <color auto="1"/>
      </right>
      <top style="thin">
        <color auto="1"/>
      </top>
      <bottom style="thin">
        <color auto="1"/>
      </bottom>
      <diagonal/>
    </border>
  </borders>
  <cellStyleXfs count="1">
    <xf numFmtId="0" fontId="0" fillId="0" borderId="0"/>
  </cellStyleXfs>
  <cellXfs count="556">
    <xf numFmtId="0" fontId="0" fillId="0" borderId="0" xfId="0"/>
    <xf numFmtId="0" fontId="2" fillId="0" borderId="0" xfId="0" applyFont="1"/>
    <xf numFmtId="0" fontId="11" fillId="0" borderId="0" xfId="0" applyFont="1"/>
    <xf numFmtId="164" fontId="8" fillId="0" borderId="0" xfId="0" applyNumberFormat="1" applyFont="1" applyAlignment="1">
      <alignment horizontal="center" vertical="center"/>
    </xf>
    <xf numFmtId="0" fontId="8" fillId="0" borderId="0" xfId="0" applyFont="1" applyAlignment="1">
      <alignment horizontal="center" vertical="center"/>
    </xf>
    <xf numFmtId="0" fontId="15" fillId="0" borderId="0" xfId="0" applyFont="1" applyAlignment="1">
      <alignment horizontal="center" vertical="center"/>
    </xf>
    <xf numFmtId="165" fontId="0" fillId="0" borderId="0" xfId="0" applyNumberFormat="1"/>
    <xf numFmtId="0" fontId="0" fillId="0" borderId="0" xfId="0" applyAlignment="1">
      <alignment wrapText="1"/>
    </xf>
    <xf numFmtId="0" fontId="2" fillId="0" borderId="0" xfId="0" applyFont="1" applyAlignment="1">
      <alignment horizontal="left" vertical="center"/>
    </xf>
    <xf numFmtId="0" fontId="2" fillId="0" borderId="17" xfId="0" applyFont="1" applyBorder="1"/>
    <xf numFmtId="0" fontId="2" fillId="0" borderId="3" xfId="0" applyFont="1" applyBorder="1" applyAlignment="1">
      <alignment horizontal="left" vertical="center"/>
    </xf>
    <xf numFmtId="0" fontId="2" fillId="0" borderId="3" xfId="0" applyFont="1" applyBorder="1"/>
    <xf numFmtId="0" fontId="19" fillId="0" borderId="0" xfId="0" applyFont="1"/>
    <xf numFmtId="42" fontId="0" fillId="0" borderId="0" xfId="0" applyNumberFormat="1" applyAlignment="1">
      <alignment horizontal="right" vertical="center"/>
    </xf>
    <xf numFmtId="0" fontId="0" fillId="0" borderId="0" xfId="0" applyAlignment="1">
      <alignment horizontal="center" vertical="center"/>
    </xf>
    <xf numFmtId="0" fontId="19" fillId="0" borderId="5" xfId="0" applyFont="1" applyBorder="1"/>
    <xf numFmtId="0" fontId="0" fillId="0" borderId="5" xfId="0" applyBorder="1"/>
    <xf numFmtId="0" fontId="19" fillId="0" borderId="8" xfId="0" applyFont="1" applyBorder="1"/>
    <xf numFmtId="0" fontId="0" fillId="0" borderId="8" xfId="0" applyBorder="1"/>
    <xf numFmtId="0" fontId="19" fillId="0" borderId="2" xfId="0" applyFont="1" applyBorder="1"/>
    <xf numFmtId="0" fontId="19" fillId="0" borderId="11" xfId="0" applyFont="1" applyBorder="1"/>
    <xf numFmtId="0" fontId="0" fillId="0" borderId="10" xfId="0" applyBorder="1"/>
    <xf numFmtId="0" fontId="19" fillId="0" borderId="7" xfId="0" applyFont="1" applyBorder="1"/>
    <xf numFmtId="0" fontId="0" fillId="0" borderId="9" xfId="0" applyBorder="1"/>
    <xf numFmtId="0" fontId="19" fillId="0" borderId="11" xfId="0" applyFont="1" applyBorder="1" applyAlignment="1">
      <alignment horizontal="left" vertical="center" wrapText="1"/>
    </xf>
    <xf numFmtId="0" fontId="23" fillId="0" borderId="2" xfId="0" applyFont="1" applyBorder="1"/>
    <xf numFmtId="0" fontId="19" fillId="0" borderId="10" xfId="0" applyFont="1" applyBorder="1"/>
    <xf numFmtId="0" fontId="19" fillId="0" borderId="0" xfId="0" applyFont="1" applyAlignment="1">
      <alignment horizontal="center" vertical="center"/>
    </xf>
    <xf numFmtId="0" fontId="0" fillId="0" borderId="6" xfId="0" applyBorder="1"/>
    <xf numFmtId="0" fontId="19" fillId="0" borderId="0" xfId="0" applyFont="1" applyAlignment="1">
      <alignment horizontal="left" vertical="center"/>
    </xf>
    <xf numFmtId="49" fontId="23" fillId="0" borderId="11" xfId="0" applyNumberFormat="1" applyFont="1" applyBorder="1" applyAlignment="1">
      <alignment horizontal="left" vertical="center"/>
    </xf>
    <xf numFmtId="49" fontId="23" fillId="0" borderId="0" xfId="0" applyNumberFormat="1" applyFont="1" applyAlignment="1">
      <alignment horizontal="left" vertical="center"/>
    </xf>
    <xf numFmtId="49" fontId="19" fillId="0" borderId="0" xfId="0" applyNumberFormat="1" applyFont="1" applyAlignment="1">
      <alignment horizontal="left" vertical="center"/>
    </xf>
    <xf numFmtId="0" fontId="30" fillId="0" borderId="8" xfId="0" applyFont="1" applyBorder="1"/>
    <xf numFmtId="0" fontId="30" fillId="0" borderId="0" xfId="0" applyFont="1"/>
    <xf numFmtId="165" fontId="19" fillId="0" borderId="5" xfId="0" applyNumberFormat="1" applyFont="1" applyBorder="1"/>
    <xf numFmtId="0" fontId="36" fillId="0" borderId="0" xfId="0" applyFont="1"/>
    <xf numFmtId="0" fontId="35" fillId="0" borderId="11" xfId="0" applyFont="1" applyBorder="1" applyAlignment="1">
      <alignment horizontal="left" vertical="center"/>
    </xf>
    <xf numFmtId="0" fontId="37" fillId="0" borderId="0" xfId="0" applyFont="1" applyAlignment="1">
      <alignment horizontal="left" vertical="center"/>
    </xf>
    <xf numFmtId="0" fontId="37" fillId="0" borderId="11" xfId="0" applyFont="1" applyBorder="1" applyAlignment="1">
      <alignment horizontal="left" vertical="center"/>
    </xf>
    <xf numFmtId="0" fontId="19" fillId="0" borderId="9" xfId="0" applyFont="1" applyBorder="1"/>
    <xf numFmtId="165" fontId="19" fillId="0" borderId="0" xfId="0" applyNumberFormat="1" applyFont="1"/>
    <xf numFmtId="0" fontId="19" fillId="0" borderId="6" xfId="0" applyFont="1" applyBorder="1"/>
    <xf numFmtId="0" fontId="19" fillId="0" borderId="3" xfId="0" applyFont="1" applyBorder="1"/>
    <xf numFmtId="42" fontId="19" fillId="0" borderId="0" xfId="0" applyNumberFormat="1" applyFont="1" applyAlignment="1">
      <alignment horizontal="right" vertical="center"/>
    </xf>
    <xf numFmtId="0" fontId="19" fillId="0" borderId="0" xfId="0" applyFont="1" applyAlignment="1">
      <alignment horizontal="left" vertical="center" wrapText="1"/>
    </xf>
    <xf numFmtId="0" fontId="44" fillId="0" borderId="0" xfId="0" applyFont="1"/>
    <xf numFmtId="165" fontId="44" fillId="0" borderId="0" xfId="0" applyNumberFormat="1" applyFont="1"/>
    <xf numFmtId="42" fontId="21" fillId="0" borderId="0" xfId="0" applyNumberFormat="1" applyFont="1" applyAlignment="1">
      <alignment horizontal="left" vertical="center"/>
    </xf>
    <xf numFmtId="0" fontId="27" fillId="0" borderId="0" xfId="0" applyFont="1"/>
    <xf numFmtId="42" fontId="27" fillId="0" borderId="0" xfId="0" applyNumberFormat="1" applyFont="1" applyAlignment="1">
      <alignment horizontal="left" vertical="center"/>
    </xf>
    <xf numFmtId="0" fontId="27"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center" vertical="center" wrapText="1"/>
    </xf>
    <xf numFmtId="0" fontId="23" fillId="0" borderId="11" xfId="0" applyFont="1" applyBorder="1" applyAlignment="1">
      <alignment horizontal="left" vertical="center"/>
    </xf>
    <xf numFmtId="0" fontId="23" fillId="0" borderId="7" xfId="0" applyFont="1" applyBorder="1" applyAlignment="1">
      <alignment horizontal="left" vertical="center"/>
    </xf>
    <xf numFmtId="0" fontId="46" fillId="0" borderId="0" xfId="0" applyFont="1" applyAlignment="1">
      <alignment horizontal="center" vertical="center" wrapText="1"/>
    </xf>
    <xf numFmtId="0" fontId="48" fillId="0" borderId="0" xfId="0" applyFont="1" applyAlignment="1">
      <alignment horizontal="center" vertical="center" wrapText="1"/>
    </xf>
    <xf numFmtId="0" fontId="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9" fillId="0" borderId="0" xfId="0" applyFont="1" applyAlignment="1">
      <alignment horizontal="left" vertical="center"/>
    </xf>
    <xf numFmtId="0" fontId="14" fillId="0" borderId="0" xfId="0" applyFont="1" applyAlignment="1">
      <alignment horizontal="left" vertical="center"/>
    </xf>
    <xf numFmtId="0" fontId="3" fillId="0" borderId="0" xfId="0" applyFont="1" applyAlignment="1">
      <alignment horizontal="center" vertical="center"/>
    </xf>
    <xf numFmtId="0" fontId="16" fillId="0" borderId="0" xfId="0" applyFont="1" applyAlignment="1">
      <alignment horizontal="center" vertical="center"/>
    </xf>
    <xf numFmtId="0" fontId="3" fillId="0" borderId="0" xfId="0" applyFont="1"/>
    <xf numFmtId="42" fontId="28" fillId="0" borderId="0" xfId="0" applyNumberFormat="1" applyFont="1" applyAlignment="1">
      <alignment horizontal="left" vertical="center"/>
    </xf>
    <xf numFmtId="0" fontId="28" fillId="0" borderId="0" xfId="0" applyFont="1" applyAlignment="1">
      <alignment horizontal="left" vertical="center"/>
    </xf>
    <xf numFmtId="0" fontId="29" fillId="0" borderId="0" xfId="0" applyFont="1"/>
    <xf numFmtId="0" fontId="46" fillId="0" borderId="0" xfId="0" applyFont="1" applyAlignment="1">
      <alignment horizontal="left" vertical="center"/>
    </xf>
    <xf numFmtId="0" fontId="0" fillId="0" borderId="0" xfId="0" applyAlignment="1">
      <alignment horizontal="left" vertical="center"/>
    </xf>
    <xf numFmtId="0" fontId="45" fillId="0" borderId="0" xfId="0" applyFont="1" applyAlignment="1">
      <alignment horizontal="left" vertical="center"/>
    </xf>
    <xf numFmtId="0" fontId="23" fillId="0" borderId="11" xfId="0" applyFont="1" applyBorder="1" applyAlignment="1">
      <alignment horizontal="left" vertical="center" wrapText="1"/>
    </xf>
    <xf numFmtId="165" fontId="2" fillId="0" borderId="0" xfId="0" applyNumberFormat="1" applyFont="1"/>
    <xf numFmtId="165" fontId="19" fillId="0" borderId="8" xfId="0" applyNumberFormat="1" applyFont="1" applyBorder="1"/>
    <xf numFmtId="0" fontId="30" fillId="0" borderId="0" xfId="0" applyFont="1" applyAlignment="1">
      <alignment horizontal="left" vertical="center"/>
    </xf>
    <xf numFmtId="0" fontId="19" fillId="0" borderId="17" xfId="0" applyFont="1" applyBorder="1" applyAlignment="1">
      <alignment horizontal="center" vertical="center"/>
    </xf>
    <xf numFmtId="0" fontId="19" fillId="0" borderId="15" xfId="0" applyFont="1" applyBorder="1"/>
    <xf numFmtId="0" fontId="19" fillId="0" borderId="3" xfId="0" applyFont="1" applyBorder="1" applyAlignment="1">
      <alignment horizontal="center" vertical="center"/>
    </xf>
    <xf numFmtId="0" fontId="19" fillId="0" borderId="11" xfId="0" applyFont="1" applyBorder="1" applyAlignment="1">
      <alignment vertical="center"/>
    </xf>
    <xf numFmtId="0" fontId="19" fillId="0" borderId="0" xfId="0" applyFont="1" applyAlignment="1">
      <alignment vertical="center"/>
    </xf>
    <xf numFmtId="0" fontId="19" fillId="0" borderId="8" xfId="0" applyFont="1" applyBorder="1" applyAlignment="1">
      <alignment horizontal="center" vertical="center"/>
    </xf>
    <xf numFmtId="0" fontId="0" fillId="0" borderId="0" xfId="0" applyAlignment="1">
      <alignment horizontal="left" vertical="center" wrapText="1"/>
    </xf>
    <xf numFmtId="0" fontId="46" fillId="0" borderId="0" xfId="0" applyFont="1" applyAlignment="1">
      <alignment horizontal="left" vertical="center" wrapText="1"/>
    </xf>
    <xf numFmtId="0" fontId="48" fillId="0" borderId="0" xfId="0" applyFont="1" applyAlignment="1">
      <alignment horizontal="left" vertical="center" wrapText="1"/>
    </xf>
    <xf numFmtId="0" fontId="0" fillId="0" borderId="8" xfId="0" applyBorder="1" applyAlignment="1">
      <alignment horizontal="center" vertical="center"/>
    </xf>
    <xf numFmtId="0" fontId="70" fillId="0" borderId="0" xfId="0" applyFont="1"/>
    <xf numFmtId="0" fontId="0" fillId="0" borderId="0" xfId="0" applyAlignment="1">
      <alignment vertical="center"/>
    </xf>
    <xf numFmtId="165" fontId="8" fillId="0" borderId="0" xfId="0" applyNumberFormat="1" applyFont="1" applyAlignment="1">
      <alignment horizontal="center" vertical="center"/>
    </xf>
    <xf numFmtId="0" fontId="8" fillId="0" borderId="0" xfId="0" applyFont="1" applyAlignment="1">
      <alignment horizontal="left" vertical="center"/>
    </xf>
    <xf numFmtId="0" fontId="21" fillId="0" borderId="0" xfId="0" applyFont="1" applyAlignment="1">
      <alignment horizontal="center" vertical="center"/>
    </xf>
    <xf numFmtId="0" fontId="23" fillId="0" borderId="0" xfId="0" applyFont="1"/>
    <xf numFmtId="165" fontId="23" fillId="0" borderId="0" xfId="0" applyNumberFormat="1" applyFont="1"/>
    <xf numFmtId="0" fontId="8" fillId="0" borderId="0" xfId="0" applyFont="1" applyAlignment="1">
      <alignment horizontal="left" vertical="center" wrapText="1"/>
    </xf>
    <xf numFmtId="0" fontId="45" fillId="0" borderId="0" xfId="0" applyFont="1" applyAlignment="1">
      <alignment horizontal="center"/>
    </xf>
    <xf numFmtId="0" fontId="32" fillId="0" borderId="0" xfId="0" applyFont="1" applyAlignment="1">
      <alignment horizontal="left" vertical="center" wrapText="1"/>
    </xf>
    <xf numFmtId="0" fontId="23" fillId="8" borderId="4" xfId="0" applyFont="1" applyFill="1" applyBorder="1" applyAlignment="1" applyProtection="1">
      <alignment horizontal="center" vertical="center"/>
      <protection locked="0"/>
    </xf>
    <xf numFmtId="0" fontId="8" fillId="8" borderId="5" xfId="0" applyFont="1" applyFill="1" applyBorder="1" applyAlignment="1" applyProtection="1">
      <alignment horizontal="center" vertical="center"/>
      <protection locked="0"/>
    </xf>
    <xf numFmtId="0" fontId="8" fillId="8" borderId="6" xfId="0" applyFont="1" applyFill="1" applyBorder="1" applyAlignment="1" applyProtection="1">
      <alignment horizontal="center" vertical="center"/>
      <protection locked="0"/>
    </xf>
    <xf numFmtId="0" fontId="8" fillId="8" borderId="7" xfId="0" applyFont="1" applyFill="1" applyBorder="1" applyAlignment="1" applyProtection="1">
      <alignment horizontal="center" vertical="center"/>
      <protection locked="0"/>
    </xf>
    <xf numFmtId="0" fontId="8" fillId="8" borderId="8" xfId="0" applyFont="1" applyFill="1" applyBorder="1" applyAlignment="1" applyProtection="1">
      <alignment horizontal="center" vertical="center"/>
      <protection locked="0"/>
    </xf>
    <xf numFmtId="0" fontId="8" fillId="8" borderId="9" xfId="0" applyFont="1" applyFill="1" applyBorder="1" applyAlignment="1" applyProtection="1">
      <alignment horizontal="center" vertical="center"/>
      <protection locked="0"/>
    </xf>
    <xf numFmtId="0" fontId="23" fillId="8" borderId="1" xfId="0" applyFont="1" applyFill="1" applyBorder="1" applyAlignment="1" applyProtection="1">
      <alignment horizontal="left" vertical="center"/>
      <protection locked="0"/>
    </xf>
    <xf numFmtId="0" fontId="23" fillId="8" borderId="2" xfId="0" applyFont="1" applyFill="1" applyBorder="1" applyAlignment="1" applyProtection="1">
      <alignment horizontal="left" vertical="center"/>
      <protection locked="0"/>
    </xf>
    <xf numFmtId="0" fontId="23" fillId="8" borderId="3" xfId="0" applyFont="1" applyFill="1" applyBorder="1" applyAlignment="1" applyProtection="1">
      <alignment horizontal="left" vertical="center"/>
      <protection locked="0"/>
    </xf>
    <xf numFmtId="0" fontId="23" fillId="0" borderId="0" xfId="0" applyFont="1" applyAlignment="1">
      <alignment horizontal="left" vertical="center" wrapText="1"/>
    </xf>
    <xf numFmtId="0" fontId="8" fillId="0" borderId="0" xfId="0" applyFont="1" applyAlignment="1">
      <alignment horizontal="left" vertical="center" wrapText="1"/>
    </xf>
    <xf numFmtId="0" fontId="23" fillId="0" borderId="0" xfId="0" applyFont="1" applyAlignment="1">
      <alignment horizontal="center" vertical="center"/>
    </xf>
    <xf numFmtId="0" fontId="8" fillId="0" borderId="0" xfId="0" applyFont="1" applyAlignment="1">
      <alignment horizontal="center" vertical="center"/>
    </xf>
    <xf numFmtId="0" fontId="23" fillId="0" borderId="0" xfId="0" applyFont="1" applyAlignment="1">
      <alignment horizontal="left" vertical="center"/>
    </xf>
    <xf numFmtId="0" fontId="8" fillId="0" borderId="0" xfId="0" applyFont="1" applyAlignment="1">
      <alignment horizontal="left" vertical="center"/>
    </xf>
    <xf numFmtId="49" fontId="23" fillId="8" borderId="1" xfId="0" applyNumberFormat="1" applyFont="1" applyFill="1" applyBorder="1" applyAlignment="1" applyProtection="1">
      <alignment horizontal="left" vertical="center"/>
      <protection locked="0"/>
    </xf>
    <xf numFmtId="0" fontId="8" fillId="8" borderId="2" xfId="0" applyFont="1" applyFill="1" applyBorder="1" applyAlignment="1" applyProtection="1">
      <alignment horizontal="left" vertical="center"/>
      <protection locked="0"/>
    </xf>
    <xf numFmtId="0" fontId="8" fillId="8" borderId="3" xfId="0" applyFont="1" applyFill="1" applyBorder="1" applyAlignment="1" applyProtection="1">
      <alignment horizontal="left" vertical="center"/>
      <protection locked="0"/>
    </xf>
    <xf numFmtId="0" fontId="32" fillId="0" borderId="0" xfId="0" applyFont="1" applyAlignment="1">
      <alignment horizontal="center" vertical="center" wrapText="1"/>
    </xf>
    <xf numFmtId="0" fontId="0" fillId="0" borderId="0" xfId="0" applyAlignment="1">
      <alignment horizontal="center" vertical="center" wrapText="1"/>
    </xf>
    <xf numFmtId="0" fontId="52" fillId="8" borderId="0" xfId="0" applyFont="1" applyFill="1" applyAlignment="1">
      <alignment horizontal="center" vertical="center"/>
    </xf>
    <xf numFmtId="0" fontId="51" fillId="8" borderId="0" xfId="0" applyFont="1" applyFill="1" applyAlignment="1">
      <alignment horizontal="center" vertical="center"/>
    </xf>
    <xf numFmtId="49" fontId="8" fillId="8" borderId="2" xfId="0" applyNumberFormat="1" applyFont="1" applyFill="1" applyBorder="1" applyAlignment="1" applyProtection="1">
      <alignment horizontal="left" vertical="center"/>
      <protection locked="0"/>
    </xf>
    <xf numFmtId="49" fontId="8" fillId="8" borderId="3" xfId="0" applyNumberFormat="1" applyFont="1" applyFill="1" applyBorder="1" applyAlignment="1" applyProtection="1">
      <alignment horizontal="left" vertical="center"/>
      <protection locked="0"/>
    </xf>
    <xf numFmtId="0" fontId="8" fillId="0" borderId="0" xfId="0" applyFont="1"/>
    <xf numFmtId="49" fontId="23" fillId="8" borderId="1" xfId="0" quotePrefix="1" applyNumberFormat="1" applyFont="1" applyFill="1" applyBorder="1" applyAlignment="1" applyProtection="1">
      <alignment horizontal="left" vertical="center"/>
      <protection locked="0"/>
    </xf>
    <xf numFmtId="0" fontId="60" fillId="0" borderId="0" xfId="0" applyFont="1" applyAlignment="1">
      <alignment horizontal="center" vertical="center" wrapText="1"/>
    </xf>
    <xf numFmtId="0" fontId="61" fillId="0" borderId="0" xfId="0" applyFont="1" applyAlignment="1">
      <alignment horizontal="center" vertical="center" wrapText="1"/>
    </xf>
    <xf numFmtId="0" fontId="23" fillId="8" borderId="1" xfId="0" applyFont="1" applyFill="1" applyBorder="1" applyAlignment="1" applyProtection="1">
      <alignment horizontal="left" vertical="center" wrapText="1"/>
      <protection locked="0"/>
    </xf>
    <xf numFmtId="0" fontId="8" fillId="8" borderId="2" xfId="0" applyFont="1" applyFill="1" applyBorder="1" applyAlignment="1" applyProtection="1">
      <alignment horizontal="left" vertical="center" wrapText="1"/>
      <protection locked="0"/>
    </xf>
    <xf numFmtId="0" fontId="8" fillId="8" borderId="3" xfId="0" applyFont="1" applyFill="1" applyBorder="1" applyAlignment="1" applyProtection="1">
      <alignment horizontal="left" vertical="center" wrapText="1"/>
      <protection locked="0"/>
    </xf>
    <xf numFmtId="0" fontId="63" fillId="0" borderId="0" xfId="0" applyFont="1" applyAlignment="1">
      <alignment horizontal="center" vertical="center"/>
    </xf>
    <xf numFmtId="0" fontId="62" fillId="0" borderId="0" xfId="0" applyFont="1" applyAlignment="1">
      <alignment horizontal="center" vertical="center" wrapText="1"/>
    </xf>
    <xf numFmtId="0" fontId="52" fillId="0" borderId="0" xfId="0" applyFont="1" applyAlignment="1">
      <alignment horizontal="center" vertical="center"/>
    </xf>
    <xf numFmtId="0" fontId="63" fillId="0" borderId="0" xfId="0" applyFont="1" applyAlignment="1">
      <alignment horizontal="center"/>
    </xf>
    <xf numFmtId="0" fontId="54" fillId="0" borderId="0" xfId="0" applyFont="1" applyAlignment="1">
      <alignment horizontal="center"/>
    </xf>
    <xf numFmtId="0" fontId="30" fillId="0" borderId="0" xfId="0" applyFont="1" applyAlignment="1">
      <alignment horizontal="left" vertical="center" wrapText="1"/>
    </xf>
    <xf numFmtId="0" fontId="23" fillId="0" borderId="4" xfId="0" applyFont="1" applyBorder="1" applyAlignment="1">
      <alignment horizontal="left" vertical="center"/>
    </xf>
    <xf numFmtId="0" fontId="0" fillId="0" borderId="5" xfId="0" applyBorder="1" applyAlignment="1">
      <alignment horizontal="left" vertical="center"/>
    </xf>
    <xf numFmtId="49" fontId="23" fillId="0" borderId="4" xfId="0" applyNumberFormat="1" applyFont="1" applyBorder="1" applyAlignment="1">
      <alignment horizontal="left" vertical="center"/>
    </xf>
    <xf numFmtId="49" fontId="23" fillId="0" borderId="5" xfId="0" applyNumberFormat="1" applyFont="1" applyBorder="1" applyAlignment="1">
      <alignment horizontal="left" vertical="center"/>
    </xf>
    <xf numFmtId="49" fontId="19" fillId="0" borderId="5" xfId="0" applyNumberFormat="1" applyFont="1" applyBorder="1" applyAlignment="1">
      <alignment horizontal="left" vertical="center"/>
    </xf>
    <xf numFmtId="0" fontId="11" fillId="0" borderId="0" xfId="0" applyFont="1" applyAlignment="1">
      <alignment horizontal="left" vertical="center" wrapText="1"/>
    </xf>
    <xf numFmtId="0" fontId="30" fillId="0" borderId="0" xfId="0" applyFont="1" applyAlignment="1">
      <alignment horizontal="left" vertical="center"/>
    </xf>
    <xf numFmtId="0" fontId="11" fillId="0" borderId="0" xfId="0" applyFont="1" applyAlignment="1">
      <alignment horizontal="left" vertical="center"/>
    </xf>
    <xf numFmtId="0" fontId="72" fillId="0" borderId="0" xfId="0" applyFont="1" applyAlignment="1">
      <alignment horizontal="left" vertical="center"/>
    </xf>
    <xf numFmtId="0" fontId="75" fillId="0" borderId="0" xfId="0" applyFont="1" applyAlignment="1">
      <alignment horizontal="left" vertical="center"/>
    </xf>
    <xf numFmtId="0" fontId="69" fillId="0" borderId="0" xfId="0" applyFont="1" applyAlignment="1">
      <alignment horizontal="left" vertical="center" wrapText="1"/>
    </xf>
    <xf numFmtId="0" fontId="37" fillId="0" borderId="0" xfId="0" applyFont="1" applyAlignment="1">
      <alignment horizontal="left"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19" fillId="0" borderId="0" xfId="0" applyFont="1" applyAlignment="1">
      <alignment horizontal="left" vertical="center"/>
    </xf>
    <xf numFmtId="0" fontId="23" fillId="6" borderId="0" xfId="0" applyFont="1" applyFill="1" applyAlignment="1">
      <alignment horizontal="left" vertical="center"/>
    </xf>
    <xf numFmtId="0" fontId="19" fillId="6" borderId="0" xfId="0" applyFont="1" applyFill="1" applyAlignment="1">
      <alignment horizontal="left" vertical="center"/>
    </xf>
    <xf numFmtId="0" fontId="19" fillId="0" borderId="10" xfId="0" applyFont="1" applyBorder="1" applyAlignment="1">
      <alignment horizontal="left" vertical="center"/>
    </xf>
    <xf numFmtId="0" fontId="19" fillId="0" borderId="17" xfId="0" applyFont="1" applyBorder="1" applyAlignment="1">
      <alignment vertical="center"/>
    </xf>
    <xf numFmtId="0" fontId="19" fillId="0" borderId="1" xfId="0" applyFont="1" applyBorder="1" applyAlignment="1">
      <alignmen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42" fontId="19" fillId="6" borderId="2" xfId="0" applyNumberFormat="1" applyFont="1" applyFill="1" applyBorder="1" applyAlignment="1">
      <alignment horizontal="right" vertical="center"/>
    </xf>
    <xf numFmtId="42" fontId="19" fillId="6" borderId="3" xfId="0" applyNumberFormat="1" applyFont="1" applyFill="1" applyBorder="1" applyAlignment="1">
      <alignment horizontal="right" vertical="center"/>
    </xf>
    <xf numFmtId="42" fontId="19" fillId="7" borderId="2" xfId="0" applyNumberFormat="1" applyFont="1" applyFill="1" applyBorder="1" applyAlignment="1" applyProtection="1">
      <alignment horizontal="right" vertical="center"/>
      <protection locked="0"/>
    </xf>
    <xf numFmtId="42" fontId="19" fillId="7" borderId="3" xfId="0" applyNumberFormat="1" applyFont="1" applyFill="1" applyBorder="1" applyAlignment="1" applyProtection="1">
      <alignment horizontal="right" vertical="center"/>
      <protection locked="0"/>
    </xf>
    <xf numFmtId="0" fontId="29" fillId="0" borderId="0" xfId="0" applyFont="1" applyAlignment="1">
      <alignment horizontal="left" vertical="center"/>
    </xf>
    <xf numFmtId="0" fontId="55" fillId="0" borderId="0" xfId="0" applyFont="1" applyAlignment="1">
      <alignment horizontal="left" vertical="center"/>
    </xf>
    <xf numFmtId="0" fontId="65" fillId="0" borderId="0" xfId="0" applyFont="1" applyAlignment="1">
      <alignment horizontal="left" vertical="center"/>
    </xf>
    <xf numFmtId="0" fontId="67" fillId="0" borderId="0" xfId="0" applyFont="1" applyAlignment="1">
      <alignment horizontal="left" vertical="center"/>
    </xf>
    <xf numFmtId="0" fontId="44" fillId="0" borderId="0" xfId="0" applyFont="1" applyAlignment="1">
      <alignment horizontal="center" vertical="center"/>
    </xf>
    <xf numFmtId="0" fontId="0" fillId="0" borderId="0" xfId="0" applyAlignment="1">
      <alignment horizontal="center" vertical="center"/>
    </xf>
    <xf numFmtId="0" fontId="46" fillId="6" borderId="0" xfId="0" applyFont="1" applyFill="1" applyAlignment="1">
      <alignment horizontal="left" vertical="center" wrapText="1"/>
    </xf>
    <xf numFmtId="0" fontId="46" fillId="8" borderId="0" xfId="0" applyFont="1" applyFill="1" applyAlignment="1">
      <alignment horizontal="left" vertical="center"/>
    </xf>
    <xf numFmtId="0" fontId="46" fillId="0" borderId="0" xfId="0" applyFont="1" applyAlignment="1">
      <alignment horizontal="left" vertical="center"/>
    </xf>
    <xf numFmtId="0" fontId="46" fillId="10" borderId="0" xfId="0" applyFont="1" applyFill="1" applyAlignment="1">
      <alignment horizontal="left" vertical="center"/>
    </xf>
    <xf numFmtId="0" fontId="46" fillId="0" borderId="0" xfId="0" applyFont="1" applyAlignment="1">
      <alignment horizontal="center" vertical="center" wrapText="1"/>
    </xf>
    <xf numFmtId="0" fontId="58" fillId="0" borderId="0" xfId="0" applyFont="1" applyAlignment="1">
      <alignment horizontal="center" vertical="center" wrapText="1"/>
    </xf>
    <xf numFmtId="0" fontId="53" fillId="0" borderId="0" xfId="0" applyFont="1" applyAlignment="1">
      <alignment horizontal="center" vertical="center" wrapText="1"/>
    </xf>
    <xf numFmtId="0" fontId="56" fillId="0" borderId="0" xfId="0" applyFont="1" applyAlignment="1">
      <alignment horizontal="center" vertical="center" wrapText="1"/>
    </xf>
    <xf numFmtId="0" fontId="70" fillId="0" borderId="0" xfId="0" applyFont="1" applyAlignment="1">
      <alignment horizontal="left" vertical="center" wrapText="1"/>
    </xf>
    <xf numFmtId="0" fontId="0" fillId="0" borderId="0" xfId="0" applyAlignment="1">
      <alignment horizontal="left" vertical="center" wrapText="1"/>
    </xf>
    <xf numFmtId="0" fontId="30" fillId="0" borderId="0" xfId="0" applyFont="1" applyAlignment="1">
      <alignment horizontal="left" wrapText="1"/>
    </xf>
    <xf numFmtId="0" fontId="33" fillId="0" borderId="4" xfId="0" applyFont="1" applyBorder="1" applyAlignment="1">
      <alignment horizontal="center" vertical="center" readingOrder="1"/>
    </xf>
    <xf numFmtId="0" fontId="33" fillId="0" borderId="5" xfId="0" applyFont="1" applyBorder="1" applyAlignment="1">
      <alignment horizontal="center" vertical="center" readingOrder="1"/>
    </xf>
    <xf numFmtId="0" fontId="39" fillId="0" borderId="5" xfId="0" applyFont="1" applyBorder="1" applyAlignment="1">
      <alignment horizontal="center" vertical="center"/>
    </xf>
    <xf numFmtId="0" fontId="39" fillId="0" borderId="6" xfId="0" applyFont="1" applyBorder="1" applyAlignment="1">
      <alignment horizontal="center" vertical="center"/>
    </xf>
    <xf numFmtId="49" fontId="21" fillId="0" borderId="11" xfId="0" applyNumberFormat="1" applyFont="1" applyBorder="1" applyAlignment="1">
      <alignment horizontal="center" vertical="center" readingOrder="1"/>
    </xf>
    <xf numFmtId="0" fontId="21" fillId="0" borderId="0" xfId="0" applyFont="1" applyAlignment="1">
      <alignment horizontal="center" vertical="center" readingOrder="1"/>
    </xf>
    <xf numFmtId="0" fontId="19" fillId="0" borderId="0" xfId="0" applyFont="1" applyAlignment="1">
      <alignment horizontal="center" vertical="center"/>
    </xf>
    <xf numFmtId="0" fontId="19" fillId="0" borderId="10" xfId="0" applyFont="1" applyBorder="1" applyAlignment="1">
      <alignment horizontal="center" vertical="center"/>
    </xf>
    <xf numFmtId="49" fontId="22" fillId="0" borderId="11" xfId="0" applyNumberFormat="1" applyFont="1" applyBorder="1" applyAlignment="1">
      <alignment horizontal="center" vertical="center" readingOrder="1"/>
    </xf>
    <xf numFmtId="49" fontId="21" fillId="0" borderId="0" xfId="0" applyNumberFormat="1" applyFont="1" applyAlignment="1">
      <alignment horizontal="center" vertical="center"/>
    </xf>
    <xf numFmtId="0" fontId="19" fillId="0" borderId="11" xfId="0" applyFont="1" applyBorder="1" applyAlignment="1">
      <alignment horizontal="left" vertical="center"/>
    </xf>
    <xf numFmtId="0" fontId="19" fillId="0" borderId="2" xfId="0" applyFont="1" applyBorder="1" applyAlignment="1">
      <alignment vertical="center"/>
    </xf>
    <xf numFmtId="0" fontId="19" fillId="4" borderId="1" xfId="0" quotePrefix="1" applyFont="1" applyFill="1" applyBorder="1" applyAlignment="1" applyProtection="1">
      <alignment horizontal="left" vertical="center"/>
      <protection locked="0"/>
    </xf>
    <xf numFmtId="0" fontId="19" fillId="4" borderId="2" xfId="0" applyFont="1" applyFill="1" applyBorder="1" applyAlignment="1" applyProtection="1">
      <alignment horizontal="left" vertical="center"/>
      <protection locked="0"/>
    </xf>
    <xf numFmtId="0" fontId="19" fillId="4" borderId="3" xfId="0" applyFont="1" applyFill="1" applyBorder="1" applyAlignment="1" applyProtection="1">
      <alignment horizontal="left" vertical="center"/>
      <protection locked="0"/>
    </xf>
    <xf numFmtId="0" fontId="23" fillId="0" borderId="1" xfId="0" applyFont="1" applyBorder="1" applyAlignment="1">
      <alignment horizontal="left" vertical="center"/>
    </xf>
    <xf numFmtId="42" fontId="23" fillId="6" borderId="1" xfId="0" applyNumberFormat="1" applyFont="1" applyFill="1" applyBorder="1" applyAlignment="1">
      <alignment horizontal="right" vertical="center"/>
    </xf>
    <xf numFmtId="42" fontId="23" fillId="6" borderId="2" xfId="0" applyNumberFormat="1" applyFont="1" applyFill="1" applyBorder="1" applyAlignment="1">
      <alignment horizontal="right" vertical="center"/>
    </xf>
    <xf numFmtId="42" fontId="23" fillId="6" borderId="3" xfId="0" applyNumberFormat="1" applyFont="1" applyFill="1" applyBorder="1" applyAlignment="1">
      <alignment horizontal="righ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3" fillId="0" borderId="17" xfId="0" applyFont="1" applyBorder="1" applyAlignment="1">
      <alignment horizontal="center" vertical="center"/>
    </xf>
    <xf numFmtId="0" fontId="19" fillId="0" borderId="17" xfId="0" applyFont="1" applyBorder="1" applyAlignment="1">
      <alignment horizontal="center" vertical="center"/>
    </xf>
    <xf numFmtId="42" fontId="23" fillId="6" borderId="17" xfId="0" applyNumberFormat="1" applyFont="1" applyFill="1" applyBorder="1" applyAlignment="1">
      <alignment horizontal="right" vertical="center"/>
    </xf>
    <xf numFmtId="0" fontId="19" fillId="0" borderId="17" xfId="0" applyFont="1" applyBorder="1" applyAlignment="1">
      <alignment horizontal="left" vertical="center"/>
    </xf>
    <xf numFmtId="0" fontId="23" fillId="0" borderId="1" xfId="0" applyFont="1" applyBorder="1" applyAlignment="1">
      <alignment horizontal="left" vertical="center" wrapText="1"/>
    </xf>
    <xf numFmtId="0" fontId="23" fillId="0" borderId="2" xfId="0" applyFont="1" applyBorder="1" applyAlignment="1">
      <alignment horizontal="left" vertical="center"/>
    </xf>
    <xf numFmtId="0" fontId="23" fillId="0" borderId="3" xfId="0" applyFont="1" applyBorder="1" applyAlignment="1">
      <alignment horizontal="left" vertical="center"/>
    </xf>
    <xf numFmtId="42" fontId="19" fillId="6" borderId="1" xfId="0" applyNumberFormat="1" applyFont="1" applyFill="1" applyBorder="1" applyAlignment="1">
      <alignment horizontal="right" vertical="center"/>
    </xf>
    <xf numFmtId="0" fontId="19" fillId="0" borderId="1" xfId="0" applyFont="1" applyBorder="1" applyAlignment="1">
      <alignment horizontal="center" vertical="center"/>
    </xf>
    <xf numFmtId="0" fontId="23" fillId="0" borderId="17" xfId="0" quotePrefix="1"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41" fillId="7" borderId="1" xfId="0" applyFont="1" applyFill="1" applyBorder="1" applyAlignment="1" applyProtection="1">
      <alignment horizontal="left" vertical="center" wrapText="1"/>
      <protection locked="0"/>
    </xf>
    <xf numFmtId="0" fontId="20" fillId="7" borderId="2" xfId="0" applyFont="1" applyFill="1" applyBorder="1" applyAlignment="1" applyProtection="1">
      <alignment horizontal="left" vertical="center" wrapText="1"/>
      <protection locked="0"/>
    </xf>
    <xf numFmtId="0" fontId="20" fillId="7" borderId="3" xfId="0" applyFont="1" applyFill="1" applyBorder="1" applyAlignment="1" applyProtection="1">
      <alignment horizontal="left" vertical="center" wrapText="1"/>
      <protection locked="0"/>
    </xf>
    <xf numFmtId="42" fontId="19" fillId="7" borderId="1" xfId="0" applyNumberFormat="1" applyFont="1" applyFill="1" applyBorder="1" applyAlignment="1" applyProtection="1">
      <alignment horizontal="right" vertical="center"/>
      <protection locked="0"/>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0" fillId="0" borderId="3" xfId="0" applyBorder="1" applyAlignment="1">
      <alignment horizontal="left" vertical="center" wrapText="1"/>
    </xf>
    <xf numFmtId="0" fontId="19" fillId="0" borderId="3" xfId="0" applyFont="1" applyBorder="1" applyAlignment="1">
      <alignment horizontal="left" vertical="center" wrapText="1"/>
    </xf>
    <xf numFmtId="0" fontId="42" fillId="7" borderId="1" xfId="0" applyFont="1" applyFill="1" applyBorder="1" applyAlignment="1" applyProtection="1">
      <alignment horizontal="left" vertical="center" wrapText="1"/>
      <protection locked="0"/>
    </xf>
    <xf numFmtId="0" fontId="42" fillId="7" borderId="2" xfId="0" applyFont="1" applyFill="1" applyBorder="1" applyAlignment="1" applyProtection="1">
      <alignment horizontal="left" vertical="center" wrapText="1"/>
      <protection locked="0"/>
    </xf>
    <xf numFmtId="0" fontId="42" fillId="7" borderId="2" xfId="0" applyFont="1" applyFill="1" applyBorder="1" applyAlignment="1" applyProtection="1">
      <alignment horizontal="left" vertical="center"/>
      <protection locked="0"/>
    </xf>
    <xf numFmtId="0" fontId="42" fillId="7" borderId="3" xfId="0" applyFont="1" applyFill="1" applyBorder="1" applyAlignment="1" applyProtection="1">
      <alignment horizontal="left" vertical="center"/>
      <protection locked="0"/>
    </xf>
    <xf numFmtId="0" fontId="19" fillId="0" borderId="1" xfId="0" applyFont="1" applyBorder="1" applyAlignment="1">
      <alignment horizontal="left" vertical="center"/>
    </xf>
    <xf numFmtId="0" fontId="41" fillId="7" borderId="17" xfId="0" applyFont="1" applyFill="1" applyBorder="1" applyProtection="1">
      <protection locked="0"/>
    </xf>
    <xf numFmtId="0" fontId="20" fillId="7" borderId="17" xfId="0" applyFont="1" applyFill="1" applyBorder="1" applyProtection="1">
      <protection locked="0"/>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41" fillId="7" borderId="1" xfId="0" applyFont="1" applyFill="1" applyBorder="1" applyProtection="1">
      <protection locked="0"/>
    </xf>
    <xf numFmtId="0" fontId="41" fillId="7" borderId="2" xfId="0" applyFont="1" applyFill="1" applyBorder="1" applyProtection="1">
      <protection locked="0"/>
    </xf>
    <xf numFmtId="0" fontId="20" fillId="7" borderId="3" xfId="0" applyFont="1" applyFill="1" applyBorder="1" applyProtection="1">
      <protection locked="0"/>
    </xf>
    <xf numFmtId="42" fontId="23" fillId="7" borderId="1" xfId="0" applyNumberFormat="1" applyFont="1" applyFill="1" applyBorder="1" applyAlignment="1" applyProtection="1">
      <alignment horizontal="right" vertical="center"/>
      <protection locked="0"/>
    </xf>
    <xf numFmtId="42" fontId="23" fillId="7" borderId="2" xfId="0" applyNumberFormat="1" applyFont="1" applyFill="1" applyBorder="1" applyAlignment="1" applyProtection="1">
      <alignment horizontal="right" vertical="center"/>
      <protection locked="0"/>
    </xf>
    <xf numFmtId="42" fontId="23" fillId="7" borderId="3" xfId="0" applyNumberFormat="1" applyFont="1" applyFill="1" applyBorder="1" applyAlignment="1" applyProtection="1">
      <alignment horizontal="right" vertical="center"/>
      <protection locked="0"/>
    </xf>
    <xf numFmtId="49" fontId="20" fillId="0" borderId="1" xfId="0" applyNumberFormat="1" applyFont="1" applyBorder="1" applyAlignment="1">
      <alignment horizontal="left" vertical="center"/>
    </xf>
    <xf numFmtId="0" fontId="20" fillId="0" borderId="2" xfId="0" applyFont="1" applyBorder="1" applyAlignment="1">
      <alignment horizontal="left" vertical="center"/>
    </xf>
    <xf numFmtId="1" fontId="20" fillId="0" borderId="2" xfId="0" applyNumberFormat="1" applyFont="1" applyBorder="1" applyAlignment="1">
      <alignment horizontal="left" vertical="center"/>
    </xf>
    <xf numFmtId="1" fontId="20" fillId="0" borderId="3" xfId="0" applyNumberFormat="1" applyFont="1" applyBorder="1" applyAlignment="1">
      <alignment horizontal="left" vertical="center"/>
    </xf>
    <xf numFmtId="42" fontId="20" fillId="11" borderId="1" xfId="0" applyNumberFormat="1" applyFont="1" applyFill="1" applyBorder="1" applyAlignment="1" applyProtection="1">
      <alignment horizontal="right" vertical="center"/>
      <protection locked="0"/>
    </xf>
    <xf numFmtId="42" fontId="20" fillId="11" borderId="2" xfId="0" applyNumberFormat="1" applyFont="1" applyFill="1" applyBorder="1" applyAlignment="1" applyProtection="1">
      <alignment horizontal="right" vertical="center"/>
      <protection locked="0"/>
    </xf>
    <xf numFmtId="42" fontId="20" fillId="11" borderId="3" xfId="0" applyNumberFormat="1" applyFont="1" applyFill="1" applyBorder="1" applyAlignment="1" applyProtection="1">
      <alignment horizontal="right" vertical="center"/>
      <protection locked="0"/>
    </xf>
    <xf numFmtId="0" fontId="10" fillId="11" borderId="2" xfId="0" applyFont="1" applyFill="1" applyBorder="1" applyAlignment="1" applyProtection="1">
      <alignment horizontal="right" vertical="center"/>
      <protection locked="0"/>
    </xf>
    <xf numFmtId="0" fontId="10" fillId="11" borderId="3" xfId="0" applyFont="1" applyFill="1" applyBorder="1" applyAlignment="1" applyProtection="1">
      <alignment horizontal="right" vertical="center"/>
      <protection locked="0"/>
    </xf>
    <xf numFmtId="42" fontId="41" fillId="6" borderId="1" xfId="0" applyNumberFormat="1" applyFont="1" applyFill="1" applyBorder="1" applyAlignment="1">
      <alignment horizontal="right" vertical="center"/>
    </xf>
    <xf numFmtId="0" fontId="68" fillId="0" borderId="2" xfId="0" applyFont="1" applyBorder="1" applyAlignment="1">
      <alignment horizontal="right" vertical="center"/>
    </xf>
    <xf numFmtId="0" fontId="68" fillId="0" borderId="3" xfId="0" applyFont="1" applyBorder="1" applyAlignment="1">
      <alignment horizontal="right" vertical="center"/>
    </xf>
    <xf numFmtId="42" fontId="82" fillId="0" borderId="17" xfId="0" applyNumberFormat="1" applyFont="1" applyBorder="1" applyAlignment="1">
      <alignment horizontal="left" vertical="center"/>
    </xf>
    <xf numFmtId="0" fontId="84" fillId="0" borderId="17" xfId="0" applyFont="1" applyBorder="1" applyAlignment="1">
      <alignment horizontal="left" vertical="center"/>
    </xf>
    <xf numFmtId="42" fontId="23" fillId="7" borderId="17" xfId="0" applyNumberFormat="1" applyFont="1" applyFill="1" applyBorder="1" applyAlignment="1" applyProtection="1">
      <alignment horizontal="right" vertical="center"/>
      <protection locked="0"/>
    </xf>
    <xf numFmtId="0" fontId="0" fillId="11" borderId="2" xfId="0" applyFill="1" applyBorder="1" applyAlignment="1" applyProtection="1">
      <alignment horizontal="right" vertical="center"/>
      <protection locked="0"/>
    </xf>
    <xf numFmtId="0" fontId="0" fillId="11" borderId="3" xfId="0" applyFill="1" applyBorder="1" applyAlignment="1" applyProtection="1">
      <alignment horizontal="right" vertical="center"/>
      <protection locked="0"/>
    </xf>
    <xf numFmtId="0" fontId="0" fillId="0" borderId="10" xfId="0" applyBorder="1" applyAlignment="1">
      <alignment vertical="center"/>
    </xf>
    <xf numFmtId="42" fontId="19" fillId="0" borderId="17" xfId="0" applyNumberFormat="1" applyFont="1" applyBorder="1" applyAlignment="1">
      <alignment horizontal="left" vertical="center"/>
    </xf>
    <xf numFmtId="0" fontId="0" fillId="0" borderId="17" xfId="0" applyBorder="1" applyAlignment="1">
      <alignment horizontal="left" vertical="center"/>
    </xf>
    <xf numFmtId="42" fontId="8" fillId="7" borderId="17" xfId="0" applyNumberFormat="1" applyFont="1" applyFill="1" applyBorder="1" applyAlignment="1" applyProtection="1">
      <alignment horizontal="right" vertical="center"/>
      <protection locked="0"/>
    </xf>
    <xf numFmtId="0" fontId="23" fillId="0" borderId="17" xfId="0" applyFont="1" applyBorder="1" applyAlignment="1">
      <alignment horizontal="left" vertical="center"/>
    </xf>
    <xf numFmtId="49" fontId="23" fillId="0" borderId="4" xfId="0" applyNumberFormat="1" applyFont="1" applyBorder="1" applyAlignment="1">
      <alignment horizontal="left" vertical="center" wrapText="1"/>
    </xf>
    <xf numFmtId="0" fontId="0" fillId="0" borderId="6" xfId="0" applyBorder="1" applyAlignment="1">
      <alignment horizontal="left" vertical="center"/>
    </xf>
    <xf numFmtId="0" fontId="19" fillId="0" borderId="17" xfId="0" applyFont="1" applyBorder="1" applyAlignment="1">
      <alignment horizontal="left" vertical="center" wrapText="1"/>
    </xf>
    <xf numFmtId="0" fontId="20" fillId="0" borderId="17" xfId="0" applyFont="1" applyBorder="1" applyAlignment="1">
      <alignment horizontal="left" vertical="center" wrapText="1"/>
    </xf>
    <xf numFmtId="42" fontId="42" fillId="6" borderId="1" xfId="0" applyNumberFormat="1" applyFont="1" applyFill="1" applyBorder="1" applyAlignment="1">
      <alignment horizontal="right" vertical="center"/>
    </xf>
    <xf numFmtId="0" fontId="76" fillId="0" borderId="2" xfId="0" applyFont="1" applyBorder="1" applyAlignment="1">
      <alignment horizontal="right" vertical="center"/>
    </xf>
    <xf numFmtId="0" fontId="76" fillId="0" borderId="3" xfId="0" applyFont="1" applyBorder="1" applyAlignment="1">
      <alignment horizontal="right" vertical="center"/>
    </xf>
    <xf numFmtId="42" fontId="8" fillId="6" borderId="17" xfId="0" applyNumberFormat="1" applyFont="1" applyFill="1" applyBorder="1" applyAlignment="1">
      <alignment horizontal="right" vertical="center"/>
    </xf>
    <xf numFmtId="0" fontId="0" fillId="0" borderId="2" xfId="0" applyBorder="1" applyAlignment="1">
      <alignment horizontal="center" vertical="center"/>
    </xf>
    <xf numFmtId="0" fontId="23" fillId="6" borderId="1" xfId="0" applyFont="1" applyFill="1" applyBorder="1" applyAlignment="1">
      <alignment horizontal="left" vertical="center"/>
    </xf>
    <xf numFmtId="0" fontId="19" fillId="6" borderId="2" xfId="0" applyFont="1" applyFill="1" applyBorder="1" applyAlignment="1">
      <alignment horizontal="left" vertical="center"/>
    </xf>
    <xf numFmtId="0" fontId="19" fillId="6" borderId="3" xfId="0" applyFont="1" applyFill="1" applyBorder="1" applyAlignment="1">
      <alignment horizontal="left" vertical="center"/>
    </xf>
    <xf numFmtId="0" fontId="23" fillId="0" borderId="11"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6" borderId="2" xfId="0" applyFont="1" applyFill="1" applyBorder="1" applyAlignment="1">
      <alignment horizontal="left" vertical="center"/>
    </xf>
    <xf numFmtId="0" fontId="23" fillId="6" borderId="3" xfId="0" applyFont="1" applyFill="1" applyBorder="1" applyAlignment="1">
      <alignment horizontal="left" vertical="center"/>
    </xf>
    <xf numFmtId="49" fontId="23" fillId="0" borderId="17" xfId="0" applyNumberFormat="1" applyFont="1" applyBorder="1" applyAlignment="1">
      <alignment horizontal="center" vertical="center"/>
    </xf>
    <xf numFmtId="0" fontId="41" fillId="0" borderId="1" xfId="0" applyFont="1" applyBorder="1" applyAlignment="1">
      <alignment horizontal="center" vertical="center"/>
    </xf>
    <xf numFmtId="0" fontId="68" fillId="0" borderId="2" xfId="0" applyFont="1" applyBorder="1" applyAlignment="1">
      <alignment horizontal="center" vertical="center"/>
    </xf>
    <xf numFmtId="0" fontId="68" fillId="0" borderId="3"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3" xfId="0" applyBorder="1" applyAlignment="1">
      <alignment horizontal="center" vertical="center"/>
    </xf>
    <xf numFmtId="42" fontId="77" fillId="6" borderId="1" xfId="0" applyNumberFormat="1" applyFont="1" applyFill="1" applyBorder="1" applyAlignment="1">
      <alignment horizontal="right" vertical="center"/>
    </xf>
    <xf numFmtId="42" fontId="78" fillId="0" borderId="2" xfId="0" applyNumberFormat="1" applyFont="1" applyBorder="1" applyAlignment="1">
      <alignment horizontal="right" vertical="center"/>
    </xf>
    <xf numFmtId="42" fontId="78" fillId="0" borderId="3" xfId="0" applyNumberFormat="1" applyFont="1" applyBorder="1" applyAlignment="1">
      <alignment horizontal="right" vertical="center"/>
    </xf>
    <xf numFmtId="0" fontId="8" fillId="7" borderId="1" xfId="0" applyFont="1" applyFill="1" applyBorder="1" applyAlignment="1" applyProtection="1">
      <alignment horizontal="left" vertical="center"/>
      <protection locked="0"/>
    </xf>
    <xf numFmtId="0" fontId="8" fillId="7" borderId="2" xfId="0" applyFont="1" applyFill="1" applyBorder="1" applyAlignment="1" applyProtection="1">
      <alignment horizontal="left" vertical="center"/>
      <protection locked="0"/>
    </xf>
    <xf numFmtId="0" fontId="8" fillId="7" borderId="3" xfId="0" applyFont="1" applyFill="1" applyBorder="1" applyAlignment="1" applyProtection="1">
      <alignment horizontal="left" vertical="center"/>
      <protection locked="0"/>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10" fillId="0" borderId="2" xfId="0" applyFont="1" applyBorder="1" applyAlignment="1">
      <alignment horizontal="left" vertical="center" wrapText="1"/>
    </xf>
    <xf numFmtId="0" fontId="0" fillId="0" borderId="2" xfId="0" applyBorder="1" applyAlignment="1">
      <alignment horizontal="left" vertical="center" wrapText="1"/>
    </xf>
    <xf numFmtId="0" fontId="49" fillId="0" borderId="0" xfId="0" applyFont="1" applyAlignment="1">
      <alignment horizontal="center" vertical="center" wrapText="1"/>
    </xf>
    <xf numFmtId="0" fontId="50" fillId="0" borderId="0" xfId="0" applyFont="1" applyAlignment="1">
      <alignment horizontal="center" vertical="center" wrapText="1"/>
    </xf>
    <xf numFmtId="0" fontId="23" fillId="7" borderId="1" xfId="0" applyFont="1" applyFill="1" applyBorder="1" applyAlignment="1" applyProtection="1">
      <alignment horizontal="left" vertical="center" wrapText="1"/>
      <protection locked="0"/>
    </xf>
    <xf numFmtId="0" fontId="19" fillId="7" borderId="2"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center" wrapText="1"/>
      <protection locked="0"/>
    </xf>
    <xf numFmtId="0" fontId="20"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7" borderId="2" xfId="0" applyFill="1" applyBorder="1" applyAlignment="1" applyProtection="1">
      <alignment horizontal="right" vertical="center"/>
      <protection locked="0"/>
    </xf>
    <xf numFmtId="0" fontId="0" fillId="7" borderId="3" xfId="0" applyFill="1" applyBorder="1" applyAlignment="1" applyProtection="1">
      <alignment horizontal="right" vertical="center"/>
      <protection locked="0"/>
    </xf>
    <xf numFmtId="42" fontId="24" fillId="0" borderId="17" xfId="0" applyNumberFormat="1" applyFont="1" applyBorder="1" applyAlignment="1">
      <alignment horizontal="left" vertical="center"/>
    </xf>
    <xf numFmtId="0" fontId="73" fillId="0" borderId="17" xfId="0" applyFont="1" applyBorder="1" applyAlignment="1">
      <alignment horizontal="left" vertical="center"/>
    </xf>
    <xf numFmtId="49" fontId="23" fillId="0" borderId="1" xfId="0" applyNumberFormat="1" applyFont="1" applyBorder="1" applyAlignment="1">
      <alignment horizontal="center" vertical="center"/>
    </xf>
    <xf numFmtId="0" fontId="66" fillId="0" borderId="0" xfId="0" applyFont="1"/>
    <xf numFmtId="0" fontId="68" fillId="7" borderId="2" xfId="0" applyFont="1" applyFill="1" applyBorder="1" applyAlignment="1" applyProtection="1">
      <alignment horizontal="left" vertical="center" wrapText="1"/>
      <protection locked="0"/>
    </xf>
    <xf numFmtId="0" fontId="68" fillId="7" borderId="3" xfId="0" applyFont="1" applyFill="1" applyBorder="1" applyAlignment="1" applyProtection="1">
      <alignment horizontal="left" vertical="center" wrapText="1"/>
      <protection locked="0"/>
    </xf>
    <xf numFmtId="0" fontId="25" fillId="0" borderId="1"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19" fillId="4" borderId="1" xfId="0" applyFont="1" applyFill="1" applyBorder="1" applyAlignment="1" applyProtection="1">
      <alignment horizontal="left" vertical="center"/>
      <protection locked="0"/>
    </xf>
    <xf numFmtId="0" fontId="24" fillId="0" borderId="1" xfId="0" applyFont="1" applyBorder="1" applyAlignment="1">
      <alignment horizontal="left" vertical="center" wrapText="1"/>
    </xf>
    <xf numFmtId="0" fontId="73" fillId="0" borderId="2" xfId="0" applyFont="1" applyBorder="1" applyAlignment="1">
      <alignment horizontal="left" vertical="center" wrapText="1"/>
    </xf>
    <xf numFmtId="0" fontId="73" fillId="0" borderId="3" xfId="0" applyFont="1" applyBorder="1" applyAlignment="1">
      <alignment horizontal="left" vertical="center" wrapText="1"/>
    </xf>
    <xf numFmtId="0" fontId="24" fillId="7" borderId="1" xfId="0" applyFont="1" applyFill="1" applyBorder="1" applyAlignment="1" applyProtection="1">
      <alignment horizontal="left" vertical="center" wrapText="1"/>
      <protection locked="0"/>
    </xf>
    <xf numFmtId="0" fontId="24" fillId="7" borderId="2" xfId="0" applyFont="1" applyFill="1" applyBorder="1" applyAlignment="1" applyProtection="1">
      <alignment horizontal="left" vertical="center" wrapText="1"/>
      <protection locked="0"/>
    </xf>
    <xf numFmtId="0" fontId="24" fillId="7" borderId="2" xfId="0" applyFont="1" applyFill="1" applyBorder="1" applyAlignment="1" applyProtection="1">
      <alignment horizontal="left" vertical="center"/>
      <protection locked="0"/>
    </xf>
    <xf numFmtId="0" fontId="24" fillId="7" borderId="3" xfId="0" applyFont="1" applyFill="1" applyBorder="1" applyAlignment="1" applyProtection="1">
      <alignment horizontal="left" vertical="center"/>
      <protection locked="0"/>
    </xf>
    <xf numFmtId="0" fontId="79" fillId="0" borderId="1" xfId="0" applyFont="1" applyBorder="1" applyAlignment="1">
      <alignment horizontal="left" vertical="center" wrapText="1"/>
    </xf>
    <xf numFmtId="0" fontId="79" fillId="0" borderId="2" xfId="0" applyFont="1" applyBorder="1" applyAlignment="1">
      <alignment horizontal="left" vertical="center" wrapText="1"/>
    </xf>
    <xf numFmtId="0" fontId="79" fillId="0" borderId="3" xfId="0" applyFont="1" applyBorder="1" applyAlignment="1">
      <alignment horizontal="left" vertical="center" wrapText="1"/>
    </xf>
    <xf numFmtId="0" fontId="0" fillId="6" borderId="0" xfId="0" applyFill="1" applyAlignment="1">
      <alignment horizontal="left" vertical="center"/>
    </xf>
    <xf numFmtId="42" fontId="19" fillId="6" borderId="17" xfId="0" applyNumberFormat="1" applyFont="1" applyFill="1" applyBorder="1" applyAlignment="1">
      <alignment horizontal="right" vertical="center"/>
    </xf>
    <xf numFmtId="0" fontId="38" fillId="0" borderId="17" xfId="0" applyFont="1" applyBorder="1" applyAlignment="1">
      <alignment horizontal="left" vertical="center" wrapText="1"/>
    </xf>
    <xf numFmtId="0" fontId="40" fillId="0" borderId="17" xfId="0" applyFont="1" applyBorder="1" applyAlignment="1">
      <alignment horizontal="left" vertical="center" wrapText="1"/>
    </xf>
    <xf numFmtId="0" fontId="80" fillId="0" borderId="1" xfId="0" applyFont="1" applyBorder="1" applyAlignment="1">
      <alignment horizontal="left" vertical="center"/>
    </xf>
    <xf numFmtId="0" fontId="81" fillId="0" borderId="2" xfId="0" applyFont="1" applyBorder="1" applyAlignment="1">
      <alignment horizontal="left" vertical="center"/>
    </xf>
    <xf numFmtId="0" fontId="81" fillId="0" borderId="3" xfId="0" applyFont="1" applyBorder="1" applyAlignment="1">
      <alignment horizontal="left" vertical="center"/>
    </xf>
    <xf numFmtId="0" fontId="19" fillId="7" borderId="2" xfId="0" applyFont="1" applyFill="1" applyBorder="1" applyAlignment="1" applyProtection="1">
      <alignment horizontal="left" vertical="center"/>
      <protection locked="0"/>
    </xf>
    <xf numFmtId="0" fontId="19" fillId="7" borderId="3" xfId="0" applyFont="1" applyFill="1" applyBorder="1" applyAlignment="1" applyProtection="1">
      <alignment horizontal="left" vertical="center"/>
      <protection locked="0"/>
    </xf>
    <xf numFmtId="0" fontId="20" fillId="0" borderId="3"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42" fontId="19" fillId="7" borderId="17" xfId="0" applyNumberFormat="1" applyFont="1" applyFill="1" applyBorder="1" applyAlignment="1" applyProtection="1">
      <alignment horizontal="right" vertical="center"/>
      <protection locked="0"/>
    </xf>
    <xf numFmtId="0" fontId="83" fillId="0" borderId="0" xfId="0" applyFont="1" applyAlignment="1">
      <alignment horizontal="left" vertical="center" wrapText="1"/>
    </xf>
    <xf numFmtId="0" fontId="10" fillId="0" borderId="0" xfId="0" applyFont="1" applyAlignment="1">
      <alignment horizontal="left" vertical="center" wrapText="1"/>
    </xf>
    <xf numFmtId="0" fontId="35" fillId="0" borderId="0" xfId="0" applyFont="1" applyAlignment="1">
      <alignment horizontal="left" vertical="center" wrapText="1"/>
    </xf>
    <xf numFmtId="0" fontId="65" fillId="0" borderId="0" xfId="0" applyFont="1" applyAlignment="1">
      <alignment horizontal="left" vertical="center" wrapText="1"/>
    </xf>
    <xf numFmtId="0" fontId="46" fillId="3" borderId="0" xfId="0" applyFont="1" applyFill="1" applyAlignment="1">
      <alignment horizontal="left" vertical="center"/>
    </xf>
    <xf numFmtId="0" fontId="46" fillId="2" borderId="0" xfId="0" applyFont="1" applyFill="1" applyAlignment="1">
      <alignment horizontal="left" vertical="center"/>
    </xf>
    <xf numFmtId="0" fontId="14" fillId="5" borderId="0" xfId="0" applyFont="1" applyFill="1" applyAlignment="1">
      <alignment horizontal="left" vertical="center"/>
    </xf>
    <xf numFmtId="0" fontId="0" fillId="5" borderId="0" xfId="0" applyFill="1" applyAlignment="1">
      <alignment horizontal="left" vertical="center"/>
    </xf>
    <xf numFmtId="0" fontId="2" fillId="0" borderId="0" xfId="0" applyFont="1"/>
    <xf numFmtId="0" fontId="3" fillId="3" borderId="0" xfId="0" applyFont="1" applyFill="1" applyAlignment="1">
      <alignment horizontal="left" vertical="center"/>
    </xf>
    <xf numFmtId="0" fontId="15" fillId="0" borderId="16" xfId="0" applyFont="1" applyBorder="1" applyAlignment="1">
      <alignment horizontal="center" vertical="center"/>
    </xf>
    <xf numFmtId="0" fontId="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0" fillId="0" borderId="17" xfId="0" applyBorder="1" applyAlignment="1">
      <alignment horizontal="center" vertical="center"/>
    </xf>
    <xf numFmtId="0" fontId="2" fillId="0" borderId="17" xfId="0" applyFont="1" applyBorder="1" applyAlignment="1">
      <alignment horizontal="left" vertical="center"/>
    </xf>
    <xf numFmtId="0" fontId="0" fillId="0" borderId="17" xfId="0" applyBorder="1"/>
    <xf numFmtId="0" fontId="0" fillId="0" borderId="1" xfId="0" applyBorder="1" applyAlignment="1">
      <alignment horizontal="left" vertical="center"/>
    </xf>
    <xf numFmtId="0" fontId="3" fillId="3" borderId="17" xfId="0" applyFont="1" applyFill="1" applyBorder="1" applyAlignment="1">
      <alignment horizontal="left" vertical="center"/>
    </xf>
    <xf numFmtId="0" fontId="15" fillId="0" borderId="17" xfId="0" applyFont="1" applyBorder="1" applyAlignment="1">
      <alignment horizontal="left" vertical="center"/>
    </xf>
    <xf numFmtId="0" fontId="3" fillId="5" borderId="17" xfId="0" applyFont="1"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3" fillId="2" borderId="17" xfId="0" applyFont="1" applyFill="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2" fillId="0" borderId="17" xfId="0" applyFont="1" applyBorder="1"/>
    <xf numFmtId="0" fontId="2" fillId="0" borderId="1" xfId="0" applyFont="1" applyBorder="1"/>
    <xf numFmtId="0" fontId="2" fillId="0" borderId="0" xfId="0" applyFont="1" applyAlignment="1">
      <alignment horizontal="left" vertical="center"/>
    </xf>
    <xf numFmtId="0" fontId="0" fillId="0" borderId="0" xfId="0" applyAlignment="1">
      <alignment horizontal="left" vertical="center"/>
    </xf>
    <xf numFmtId="0" fontId="2" fillId="0" borderId="13" xfId="0" applyFont="1" applyBorder="1"/>
    <xf numFmtId="0" fontId="2" fillId="0" borderId="15" xfId="0" applyFont="1" applyBorder="1"/>
    <xf numFmtId="0" fontId="2" fillId="0" borderId="14" xfId="0" applyFont="1" applyBorder="1"/>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justify" vertical="justify" wrapText="1"/>
    </xf>
    <xf numFmtId="0" fontId="0" fillId="0" borderId="5" xfId="0" applyBorder="1" applyAlignment="1">
      <alignment horizontal="justify" vertical="justify" wrapText="1"/>
    </xf>
    <xf numFmtId="0" fontId="0" fillId="0" borderId="6" xfId="0" applyBorder="1" applyAlignment="1">
      <alignment horizontal="justify" vertical="justify" wrapText="1"/>
    </xf>
    <xf numFmtId="0" fontId="0" fillId="0" borderId="11" xfId="0" applyBorder="1" applyAlignment="1">
      <alignment horizontal="justify" vertical="justify" wrapText="1"/>
    </xf>
    <xf numFmtId="0" fontId="0" fillId="0" borderId="0" xfId="0" applyAlignment="1">
      <alignment horizontal="justify" vertical="justify" wrapText="1"/>
    </xf>
    <xf numFmtId="0" fontId="0" fillId="0" borderId="10" xfId="0" applyBorder="1" applyAlignment="1">
      <alignment horizontal="justify" vertical="justify" wrapText="1"/>
    </xf>
    <xf numFmtId="0" fontId="0" fillId="0" borderId="7" xfId="0" applyBorder="1" applyAlignment="1">
      <alignment horizontal="justify" vertical="justify" wrapText="1"/>
    </xf>
    <xf numFmtId="0" fontId="0" fillId="0" borderId="8" xfId="0" applyBorder="1" applyAlignment="1">
      <alignment horizontal="justify" vertical="justify" wrapText="1"/>
    </xf>
    <xf numFmtId="0" fontId="0" fillId="0" borderId="9" xfId="0" applyBorder="1" applyAlignment="1">
      <alignment horizontal="justify" vertical="justify"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justify" vertical="justify" wrapText="1"/>
    </xf>
    <xf numFmtId="0" fontId="0" fillId="0" borderId="5" xfId="0" applyBorder="1" applyAlignment="1">
      <alignment horizontal="justify" vertical="justify"/>
    </xf>
    <xf numFmtId="0" fontId="0" fillId="0" borderId="6" xfId="0" applyBorder="1" applyAlignment="1">
      <alignment horizontal="justify" vertical="justify"/>
    </xf>
    <xf numFmtId="0" fontId="2" fillId="0" borderId="7" xfId="0" applyFont="1" applyBorder="1" applyAlignment="1">
      <alignment horizontal="justify" vertical="justify" wrapText="1"/>
    </xf>
    <xf numFmtId="0" fontId="2" fillId="0" borderId="8" xfId="0" applyFont="1" applyBorder="1" applyAlignment="1">
      <alignment horizontal="justify" vertical="justify" wrapText="1"/>
    </xf>
    <xf numFmtId="0" fontId="0" fillId="0" borderId="8" xfId="0" applyBorder="1" applyAlignment="1">
      <alignment horizontal="justify" vertical="justify"/>
    </xf>
    <xf numFmtId="0" fontId="0" fillId="0" borderId="9" xfId="0" applyBorder="1" applyAlignment="1">
      <alignment horizontal="justify" vertical="justify"/>
    </xf>
    <xf numFmtId="164" fontId="3" fillId="0" borderId="5" xfId="0" applyNumberFormat="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2" fontId="3" fillId="2" borderId="5" xfId="0" applyNumberFormat="1" applyFont="1" applyFill="1" applyBorder="1" applyAlignment="1" applyProtection="1">
      <alignment horizontal="right" vertical="center"/>
      <protection locked="0"/>
    </xf>
    <xf numFmtId="42" fontId="8" fillId="2" borderId="5" xfId="0" applyNumberFormat="1" applyFont="1" applyFill="1" applyBorder="1" applyAlignment="1" applyProtection="1">
      <alignment horizontal="right" vertical="center"/>
      <protection locked="0"/>
    </xf>
    <xf numFmtId="42" fontId="8" fillId="2" borderId="6" xfId="0" applyNumberFormat="1" applyFont="1" applyFill="1" applyBorder="1" applyAlignment="1" applyProtection="1">
      <alignment horizontal="right" vertical="center"/>
      <protection locked="0"/>
    </xf>
    <xf numFmtId="42" fontId="8" fillId="2" borderId="8" xfId="0" applyNumberFormat="1" applyFont="1" applyFill="1" applyBorder="1" applyAlignment="1" applyProtection="1">
      <alignment horizontal="right" vertical="center"/>
      <protection locked="0"/>
    </xf>
    <xf numFmtId="42" fontId="8" fillId="2" borderId="9" xfId="0" applyNumberFormat="1" applyFont="1" applyFill="1" applyBorder="1" applyAlignment="1" applyProtection="1">
      <alignment horizontal="right" vertical="center"/>
      <protection locked="0"/>
    </xf>
    <xf numFmtId="164" fontId="8" fillId="0" borderId="5"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0" xfId="0" applyNumberFormat="1" applyFont="1" applyAlignment="1">
      <alignment horizontal="center" vertical="center"/>
    </xf>
    <xf numFmtId="164" fontId="8" fillId="0" borderId="10" xfId="0" applyNumberFormat="1" applyFont="1" applyBorder="1" applyAlignment="1">
      <alignment horizontal="center" vertical="center"/>
    </xf>
    <xf numFmtId="164" fontId="8" fillId="0" borderId="8" xfId="0" applyNumberFormat="1" applyFont="1" applyBorder="1" applyAlignment="1">
      <alignment horizontal="center" vertical="center"/>
    </xf>
    <xf numFmtId="164" fontId="8" fillId="0" borderId="9" xfId="0" applyNumberFormat="1" applyFont="1" applyBorder="1" applyAlignment="1">
      <alignment horizontal="center" vertical="center"/>
    </xf>
    <xf numFmtId="0" fontId="2" fillId="0" borderId="12" xfId="0" applyFont="1" applyBorder="1" applyAlignment="1">
      <alignment horizontal="center" vertical="center"/>
    </xf>
    <xf numFmtId="0" fontId="3" fillId="3" borderId="12" xfId="0" applyFont="1" applyFill="1" applyBorder="1" applyAlignment="1">
      <alignment horizontal="left" vertical="center"/>
    </xf>
    <xf numFmtId="0" fontId="15" fillId="0" borderId="0" xfId="0" applyFont="1" applyAlignment="1">
      <alignment horizontal="center" vertical="center"/>
    </xf>
    <xf numFmtId="0" fontId="0" fillId="3" borderId="0" xfId="0" applyFill="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42" fontId="3" fillId="3" borderId="4" xfId="0" applyNumberFormat="1" applyFont="1" applyFill="1" applyBorder="1" applyAlignment="1">
      <alignment horizontal="right" vertical="center"/>
    </xf>
    <xf numFmtId="42" fontId="3" fillId="3" borderId="5" xfId="0" applyNumberFormat="1" applyFont="1" applyFill="1" applyBorder="1" applyAlignment="1">
      <alignment horizontal="right" vertical="center"/>
    </xf>
    <xf numFmtId="42" fontId="3" fillId="3" borderId="6" xfId="0" applyNumberFormat="1" applyFont="1" applyFill="1" applyBorder="1" applyAlignment="1">
      <alignment horizontal="right" vertical="center"/>
    </xf>
    <xf numFmtId="42" fontId="8" fillId="3" borderId="7" xfId="0" applyNumberFormat="1" applyFont="1" applyFill="1" applyBorder="1" applyAlignment="1">
      <alignment horizontal="right" vertical="center"/>
    </xf>
    <xf numFmtId="42" fontId="8" fillId="3" borderId="8" xfId="0" applyNumberFormat="1" applyFont="1" applyFill="1" applyBorder="1" applyAlignment="1">
      <alignment horizontal="right" vertical="center"/>
    </xf>
    <xf numFmtId="42" fontId="8" fillId="3" borderId="9" xfId="0" applyNumberFormat="1" applyFont="1" applyFill="1" applyBorder="1" applyAlignment="1">
      <alignment horizontal="right" vertical="center"/>
    </xf>
    <xf numFmtId="0" fontId="2" fillId="0" borderId="15" xfId="0" applyFont="1" applyBorder="1" applyAlignment="1">
      <alignment horizontal="center" vertical="center"/>
    </xf>
    <xf numFmtId="0" fontId="0" fillId="0" borderId="14" xfId="0"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2" fontId="8" fillId="3" borderId="11" xfId="0" applyNumberFormat="1" applyFont="1" applyFill="1" applyBorder="1" applyAlignment="1">
      <alignment horizontal="right" vertical="center"/>
    </xf>
    <xf numFmtId="42" fontId="8" fillId="3" borderId="0" xfId="0" applyNumberFormat="1" applyFont="1" applyFill="1" applyAlignment="1">
      <alignment horizontal="right" vertical="center"/>
    </xf>
    <xf numFmtId="42" fontId="8" fillId="3" borderId="10" xfId="0" applyNumberFormat="1" applyFont="1" applyFill="1" applyBorder="1" applyAlignment="1">
      <alignment horizontal="right" vertical="center"/>
    </xf>
    <xf numFmtId="0" fontId="16" fillId="0" borderId="0" xfId="0" applyFont="1" applyAlignment="1">
      <alignment horizontal="center" vertical="center"/>
    </xf>
    <xf numFmtId="0" fontId="0" fillId="0" borderId="0" xfId="0"/>
    <xf numFmtId="166" fontId="3" fillId="3" borderId="4" xfId="0" applyNumberFormat="1" applyFont="1" applyFill="1" applyBorder="1" applyAlignment="1">
      <alignment horizontal="right" vertical="center"/>
    </xf>
    <xf numFmtId="166" fontId="3" fillId="3" borderId="5" xfId="0" applyNumberFormat="1" applyFont="1" applyFill="1" applyBorder="1" applyAlignment="1">
      <alignment horizontal="right" vertical="center"/>
    </xf>
    <xf numFmtId="166" fontId="3" fillId="3" borderId="6" xfId="0" applyNumberFormat="1" applyFont="1" applyFill="1" applyBorder="1" applyAlignment="1">
      <alignment horizontal="right" vertical="center"/>
    </xf>
    <xf numFmtId="166" fontId="8" fillId="3" borderId="7" xfId="0" applyNumberFormat="1" applyFont="1" applyFill="1" applyBorder="1" applyAlignment="1">
      <alignment horizontal="right" vertical="center"/>
    </xf>
    <xf numFmtId="166" fontId="8" fillId="3" borderId="8" xfId="0" applyNumberFormat="1" applyFont="1" applyFill="1" applyBorder="1" applyAlignment="1">
      <alignment horizontal="right" vertical="center"/>
    </xf>
    <xf numFmtId="166" fontId="8" fillId="3" borderId="9" xfId="0" applyNumberFormat="1" applyFont="1" applyFill="1" applyBorder="1" applyAlignment="1">
      <alignment horizontal="right" vertical="center"/>
    </xf>
    <xf numFmtId="164" fontId="17" fillId="2" borderId="1" xfId="0" applyNumberFormat="1"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42" fontId="17" fillId="2" borderId="1" xfId="0" applyNumberFormat="1" applyFont="1" applyFill="1" applyBorder="1" applyAlignment="1" applyProtection="1">
      <alignment horizontal="right" vertical="center"/>
      <protection locked="0"/>
    </xf>
    <xf numFmtId="42" fontId="17" fillId="2" borderId="2" xfId="0" applyNumberFormat="1" applyFont="1" applyFill="1" applyBorder="1" applyAlignment="1" applyProtection="1">
      <alignment horizontal="right" vertical="center"/>
      <protection locked="0"/>
    </xf>
    <xf numFmtId="42" fontId="17" fillId="2" borderId="3" xfId="0" applyNumberFormat="1" applyFont="1" applyFill="1" applyBorder="1" applyAlignment="1" applyProtection="1">
      <alignment horizontal="right" vertical="center"/>
      <protection locked="0"/>
    </xf>
    <xf numFmtId="42" fontId="17" fillId="3" borderId="1" xfId="0" applyNumberFormat="1" applyFont="1" applyFill="1" applyBorder="1" applyAlignment="1">
      <alignment horizontal="right" vertical="center"/>
    </xf>
    <xf numFmtId="42" fontId="17" fillId="3" borderId="2" xfId="0" applyNumberFormat="1" applyFont="1" applyFill="1" applyBorder="1" applyAlignment="1">
      <alignment horizontal="right" vertical="center"/>
    </xf>
    <xf numFmtId="42" fontId="17" fillId="3" borderId="3" xfId="0" applyNumberFormat="1" applyFont="1" applyFill="1" applyBorder="1" applyAlignment="1">
      <alignment horizontal="right" vertical="center"/>
    </xf>
    <xf numFmtId="42" fontId="0" fillId="0" borderId="3" xfId="0" applyNumberFormat="1" applyBorder="1" applyAlignment="1">
      <alignment horizontal="right" vertical="center"/>
    </xf>
    <xf numFmtId="42" fontId="5" fillId="3" borderId="1" xfId="0" applyNumberFormat="1" applyFont="1" applyFill="1" applyBorder="1" applyAlignment="1">
      <alignment horizontal="right" vertical="center"/>
    </xf>
    <xf numFmtId="42" fontId="5" fillId="3" borderId="2" xfId="0" applyNumberFormat="1" applyFont="1" applyFill="1" applyBorder="1" applyAlignment="1">
      <alignment horizontal="right" vertical="center"/>
    </xf>
    <xf numFmtId="42" fontId="5" fillId="3" borderId="3" xfId="0" applyNumberFormat="1" applyFont="1" applyFill="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center" vertical="center"/>
    </xf>
    <xf numFmtId="0" fontId="2" fillId="0" borderId="4" xfId="0" applyFont="1" applyBorder="1" applyAlignment="1">
      <alignment horizontal="center" vertical="top" wrapText="1" readingOrder="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11" xfId="0" applyBorder="1" applyAlignment="1">
      <alignment horizontal="center" vertical="top" wrapText="1"/>
    </xf>
    <xf numFmtId="0" fontId="0" fillId="0" borderId="0" xfId="0" applyAlignment="1">
      <alignment horizontal="center" vertical="top" wrapText="1"/>
    </xf>
    <xf numFmtId="0" fontId="0" fillId="0" borderId="10"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5" xfId="0" applyBorder="1" applyAlignment="1">
      <alignment horizontal="center"/>
    </xf>
    <xf numFmtId="0" fontId="0" fillId="0" borderId="6"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11"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49" fontId="2" fillId="0" borderId="4" xfId="0" applyNumberFormat="1" applyFont="1" applyBorder="1" applyAlignment="1">
      <alignment horizontal="center" vertical="top" wrapText="1" readingOrder="1"/>
    </xf>
    <xf numFmtId="49" fontId="2" fillId="0" borderId="4" xfId="0" applyNumberFormat="1" applyFont="1" applyBorder="1" applyAlignment="1">
      <alignment horizontal="center" vertical="top" wrapText="1"/>
    </xf>
    <xf numFmtId="164" fontId="5" fillId="0" borderId="1"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5" fillId="0" borderId="3" xfId="0" applyNumberFormat="1" applyFont="1" applyBorder="1" applyAlignment="1">
      <alignment horizontal="right" vertical="center"/>
    </xf>
    <xf numFmtId="0" fontId="10" fillId="0" borderId="2" xfId="0" applyFont="1" applyBorder="1" applyAlignment="1">
      <alignment horizontal="left" vertical="center"/>
    </xf>
    <xf numFmtId="1" fontId="19" fillId="0" borderId="2" xfId="0" applyNumberFormat="1" applyFont="1" applyBorder="1" applyAlignment="1">
      <alignment horizontal="left" vertical="center"/>
    </xf>
    <xf numFmtId="1" fontId="0" fillId="0" borderId="2" xfId="0" applyNumberFormat="1" applyBorder="1" applyAlignment="1">
      <alignment horizontal="left" vertical="center"/>
    </xf>
    <xf numFmtId="1" fontId="0" fillId="0" borderId="3" xfId="0" applyNumberFormat="1" applyBorder="1" applyAlignment="1">
      <alignment horizontal="left" vertical="center"/>
    </xf>
    <xf numFmtId="42" fontId="25" fillId="6" borderId="1" xfId="0" applyNumberFormat="1" applyFont="1" applyFill="1" applyBorder="1" applyAlignment="1">
      <alignment horizontal="right" vertical="center"/>
    </xf>
    <xf numFmtId="42" fontId="25" fillId="6" borderId="2" xfId="0" applyNumberFormat="1" applyFont="1" applyFill="1" applyBorder="1" applyAlignment="1">
      <alignment horizontal="right" vertical="center"/>
    </xf>
    <xf numFmtId="42" fontId="25" fillId="6" borderId="3" xfId="0" applyNumberFormat="1" applyFont="1" applyFill="1" applyBorder="1" applyAlignment="1">
      <alignment horizontal="right" vertical="center"/>
    </xf>
    <xf numFmtId="42" fontId="31" fillId="6" borderId="1" xfId="0" applyNumberFormat="1" applyFont="1" applyFill="1" applyBorder="1" applyAlignment="1">
      <alignment horizontal="right" vertical="center"/>
    </xf>
    <xf numFmtId="42" fontId="31" fillId="6" borderId="2" xfId="0" applyNumberFormat="1" applyFont="1" applyFill="1" applyBorder="1" applyAlignment="1">
      <alignment horizontal="right" vertical="center"/>
    </xf>
    <xf numFmtId="42" fontId="31" fillId="6" borderId="3" xfId="0" applyNumberFormat="1" applyFont="1" applyFill="1" applyBorder="1" applyAlignment="1">
      <alignment horizontal="right" vertical="center"/>
    </xf>
    <xf numFmtId="0" fontId="43" fillId="0" borderId="0" xfId="0" applyFont="1" applyAlignment="1">
      <alignment horizontal="left" vertical="center"/>
    </xf>
    <xf numFmtId="0" fontId="57" fillId="0" borderId="0" xfId="0" applyFont="1" applyAlignment="1">
      <alignment horizontal="left" vertical="center"/>
    </xf>
    <xf numFmtId="0" fontId="0" fillId="0" borderId="10" xfId="0" applyBorder="1" applyAlignment="1">
      <alignment horizontal="center" vertical="center"/>
    </xf>
    <xf numFmtId="0" fontId="59" fillId="0" borderId="0" xfId="0" applyFont="1"/>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0" borderId="8" xfId="0" applyFont="1" applyBorder="1" applyAlignment="1">
      <alignment horizontal="left" vertical="center"/>
    </xf>
    <xf numFmtId="0" fontId="0" fillId="6" borderId="2" xfId="0" applyFill="1" applyBorder="1" applyAlignment="1">
      <alignment horizontal="left" vertical="center"/>
    </xf>
    <xf numFmtId="0" fontId="0" fillId="6" borderId="3" xfId="0" applyFill="1" applyBorder="1" applyAlignment="1">
      <alignment horizontal="left"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42" fontId="41" fillId="6" borderId="2" xfId="0" applyNumberFormat="1" applyFont="1" applyFill="1" applyBorder="1" applyAlignment="1">
      <alignment horizontal="right" vertical="center"/>
    </xf>
    <xf numFmtId="42" fontId="41" fillId="6" borderId="3" xfId="0" applyNumberFormat="1" applyFont="1" applyFill="1" applyBorder="1" applyAlignment="1">
      <alignment horizontal="right" vertical="center"/>
    </xf>
    <xf numFmtId="0" fontId="10" fillId="0" borderId="3" xfId="0" applyFont="1" applyBorder="1" applyAlignment="1">
      <alignment horizontal="left" vertical="center" wrapText="1"/>
    </xf>
    <xf numFmtId="42" fontId="8" fillId="6" borderId="2" xfId="0" applyNumberFormat="1" applyFont="1" applyFill="1" applyBorder="1" applyAlignment="1">
      <alignment horizontal="right" vertical="center"/>
    </xf>
    <xf numFmtId="42" fontId="8" fillId="6" borderId="3" xfId="0" applyNumberFormat="1" applyFont="1" applyFill="1" applyBorder="1" applyAlignment="1">
      <alignment horizontal="right" vertical="center"/>
    </xf>
    <xf numFmtId="0" fontId="23" fillId="0" borderId="17" xfId="0" applyFont="1" applyBorder="1" applyAlignment="1">
      <alignment horizontal="left" vertical="center" wrapText="1"/>
    </xf>
    <xf numFmtId="0" fontId="0" fillId="0" borderId="17" xfId="0"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42" fontId="0" fillId="6" borderId="17" xfId="0" applyNumberFormat="1" applyFill="1" applyBorder="1" applyAlignment="1">
      <alignment horizontal="righ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42" fontId="0" fillId="6" borderId="2" xfId="0" applyNumberFormat="1" applyFill="1" applyBorder="1" applyAlignment="1">
      <alignment horizontal="right" vertical="center"/>
    </xf>
    <xf numFmtId="42" fontId="0" fillId="6" borderId="3" xfId="0" applyNumberFormat="1" applyFill="1" applyBorder="1" applyAlignment="1">
      <alignment horizontal="right" vertical="center"/>
    </xf>
    <xf numFmtId="0" fontId="8" fillId="0" borderId="17" xfId="0" applyFont="1" applyBorder="1" applyAlignment="1">
      <alignment horizontal="center" vertical="center"/>
    </xf>
    <xf numFmtId="0" fontId="19" fillId="6" borderId="1" xfId="0" quotePrefix="1" applyFont="1" applyFill="1" applyBorder="1" applyAlignment="1">
      <alignment horizontal="left" vertical="center"/>
    </xf>
    <xf numFmtId="0" fontId="8" fillId="6" borderId="0" xfId="0" applyFont="1" applyFill="1" applyAlignment="1">
      <alignment horizontal="left" vertical="center"/>
    </xf>
    <xf numFmtId="0" fontId="0" fillId="0" borderId="2" xfId="0" applyBorder="1"/>
    <xf numFmtId="0" fontId="0" fillId="0" borderId="8" xfId="0" applyBorder="1" applyAlignment="1">
      <alignment horizontal="center" vertical="center" wrapText="1"/>
    </xf>
    <xf numFmtId="0" fontId="19" fillId="6" borderId="0" xfId="0" applyFont="1" applyFill="1"/>
    <xf numFmtId="0" fontId="0" fillId="6" borderId="0" xfId="0" applyFill="1"/>
    <xf numFmtId="0" fontId="53" fillId="0" borderId="0" xfId="0" applyFont="1" applyAlignment="1">
      <alignment horizontal="center" vertical="center"/>
    </xf>
    <xf numFmtId="0" fontId="46" fillId="9" borderId="0" xfId="0" applyFont="1" applyFill="1" applyAlignment="1">
      <alignment horizontal="left" vertical="center"/>
    </xf>
    <xf numFmtId="0" fontId="0" fillId="9" borderId="0" xfId="0" applyFill="1" applyAlignment="1">
      <alignment horizontal="left" vertical="center"/>
    </xf>
    <xf numFmtId="0" fontId="17" fillId="3" borderId="1"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0" borderId="0" xfId="0" applyAlignment="1">
      <alignment wrapText="1"/>
    </xf>
    <xf numFmtId="0" fontId="3" fillId="9" borderId="17" xfId="0" applyFont="1" applyFill="1" applyBorder="1" applyAlignment="1">
      <alignment horizontal="left" vertical="center"/>
    </xf>
    <xf numFmtId="0" fontId="43" fillId="0" borderId="0" xfId="0" applyFont="1" applyAlignment="1">
      <alignment horizontal="left" vertical="center" wrapText="1"/>
    </xf>
    <xf numFmtId="42" fontId="3" fillId="9" borderId="5" xfId="0" applyNumberFormat="1" applyFont="1" applyFill="1" applyBorder="1" applyAlignment="1">
      <alignment horizontal="right" vertical="center"/>
    </xf>
    <xf numFmtId="42" fontId="8" fillId="9" borderId="5" xfId="0" applyNumberFormat="1" applyFont="1" applyFill="1" applyBorder="1" applyAlignment="1">
      <alignment horizontal="right" vertical="center"/>
    </xf>
    <xf numFmtId="42" fontId="8" fillId="9" borderId="6" xfId="0" applyNumberFormat="1" applyFont="1" applyFill="1" applyBorder="1" applyAlignment="1">
      <alignment horizontal="right" vertical="center"/>
    </xf>
    <xf numFmtId="42" fontId="8" fillId="9" borderId="8" xfId="0" applyNumberFormat="1" applyFont="1" applyFill="1" applyBorder="1" applyAlignment="1">
      <alignment horizontal="right" vertical="center"/>
    </xf>
    <xf numFmtId="42" fontId="8" fillId="9" borderId="9" xfId="0" applyNumberFormat="1" applyFont="1" applyFill="1" applyBorder="1" applyAlignment="1">
      <alignment horizontal="right" vertical="center"/>
    </xf>
  </cellXfs>
  <cellStyles count="1">
    <cellStyle name="Normal" xfId="0" builtinId="0"/>
  </cellStyles>
  <dxfs count="0"/>
  <tableStyles count="0" defaultTableStyle="TableStyleMedium9" defaultPivotStyle="PivotStyleLight16"/>
  <colors>
    <mruColors>
      <color rgb="FFC5D9F1"/>
      <color rgb="FF8FF9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6464-72E9-4DD4-AD91-84B383B73EE7}">
  <dimension ref="C2:BK74"/>
  <sheetViews>
    <sheetView showGridLines="0" showRowColHeaders="0" tabSelected="1" workbookViewId="0">
      <selection activeCell="V3" sqref="V3:BA3"/>
    </sheetView>
  </sheetViews>
  <sheetFormatPr defaultColWidth="9.109375" defaultRowHeight="13.8" x14ac:dyDescent="0.25"/>
  <cols>
    <col min="1" max="1" width="9.109375" style="12"/>
    <col min="2" max="52" width="1.88671875" style="12" customWidth="1"/>
    <col min="53" max="53" width="5.44140625" style="12" customWidth="1"/>
    <col min="54" max="54" width="3.6640625" style="12" customWidth="1"/>
    <col min="55" max="55" width="9.109375" style="12" customWidth="1"/>
    <col min="56" max="16384" width="9.109375" style="12"/>
  </cols>
  <sheetData>
    <row r="2" spans="3:63" ht="15" customHeight="1" x14ac:dyDescent="0.25">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BD2" s="128" t="s">
        <v>238</v>
      </c>
      <c r="BE2" s="128"/>
      <c r="BF2" s="128"/>
      <c r="BG2" s="128"/>
      <c r="BH2" s="128"/>
      <c r="BI2" s="128"/>
      <c r="BJ2" s="128"/>
    </row>
    <row r="3" spans="3:63" ht="22.5" customHeight="1" x14ac:dyDescent="0.25">
      <c r="C3" s="109" t="s">
        <v>234</v>
      </c>
      <c r="D3" s="109"/>
      <c r="E3" s="109"/>
      <c r="F3" s="109"/>
      <c r="G3" s="109"/>
      <c r="H3" s="109"/>
      <c r="I3" s="109"/>
      <c r="J3" s="110"/>
      <c r="K3" s="110"/>
      <c r="L3" s="110" t="s">
        <v>5</v>
      </c>
      <c r="M3" s="110"/>
      <c r="N3" s="110"/>
      <c r="O3" s="110"/>
      <c r="P3" s="110"/>
      <c r="Q3" s="110"/>
      <c r="R3" s="110"/>
      <c r="S3" s="110"/>
      <c r="T3" s="110"/>
      <c r="U3" s="4" t="s">
        <v>5</v>
      </c>
      <c r="V3" s="124"/>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6"/>
      <c r="BD3" s="128"/>
      <c r="BE3" s="128"/>
      <c r="BF3" s="128"/>
      <c r="BG3" s="128"/>
      <c r="BH3" s="128"/>
      <c r="BI3" s="128"/>
      <c r="BJ3" s="128"/>
    </row>
    <row r="4" spans="3:63" ht="6.75" customHeight="1" x14ac:dyDescent="0.25">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D4" s="128"/>
      <c r="BE4" s="128"/>
      <c r="BF4" s="128"/>
      <c r="BG4" s="128"/>
      <c r="BH4" s="128"/>
      <c r="BI4" s="128"/>
      <c r="BJ4" s="128"/>
    </row>
    <row r="5" spans="3:63" ht="8.25" customHeight="1" x14ac:dyDescent="0.25">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D5" s="128"/>
      <c r="BE5" s="128"/>
      <c r="BF5" s="128"/>
      <c r="BG5" s="128"/>
      <c r="BH5" s="128"/>
      <c r="BI5" s="128"/>
      <c r="BJ5" s="128"/>
    </row>
    <row r="6" spans="3:63" ht="18" customHeight="1" x14ac:dyDescent="0.25">
      <c r="C6" s="109" t="s">
        <v>13</v>
      </c>
      <c r="D6" s="109"/>
      <c r="E6" s="109"/>
      <c r="F6" s="109"/>
      <c r="G6" s="109"/>
      <c r="H6" s="109"/>
      <c r="I6" s="109"/>
      <c r="J6" s="110"/>
      <c r="K6" s="4" t="s">
        <v>5</v>
      </c>
      <c r="L6" s="102"/>
      <c r="M6" s="103"/>
      <c r="N6" s="103"/>
      <c r="O6" s="103"/>
      <c r="P6" s="103"/>
      <c r="Q6" s="103"/>
      <c r="R6" s="103"/>
      <c r="S6" s="103"/>
      <c r="T6" s="103"/>
      <c r="U6" s="103"/>
      <c r="V6" s="103"/>
      <c r="W6" s="103"/>
      <c r="X6" s="103"/>
      <c r="Y6" s="103"/>
      <c r="Z6" s="103"/>
      <c r="AA6" s="103"/>
      <c r="AB6" s="104"/>
      <c r="AC6" s="89"/>
      <c r="AD6" s="109" t="s">
        <v>105</v>
      </c>
      <c r="AE6" s="110"/>
      <c r="AF6" s="110"/>
      <c r="AG6" s="110"/>
      <c r="AH6" s="110"/>
      <c r="AI6" s="110"/>
      <c r="AJ6" s="4" t="s">
        <v>5</v>
      </c>
      <c r="AK6" s="102"/>
      <c r="AL6" s="112"/>
      <c r="AM6" s="112"/>
      <c r="AN6" s="112"/>
      <c r="AO6" s="112"/>
      <c r="AP6" s="112"/>
      <c r="AQ6" s="112"/>
      <c r="AR6" s="112"/>
      <c r="AS6" s="112"/>
      <c r="AT6" s="112"/>
      <c r="AU6" s="112"/>
      <c r="AV6" s="112"/>
      <c r="AW6" s="112"/>
      <c r="AX6" s="112"/>
      <c r="AY6" s="112"/>
      <c r="AZ6" s="113"/>
      <c r="BA6" s="89"/>
      <c r="BB6" s="70"/>
      <c r="BC6" s="70"/>
      <c r="BD6" s="128"/>
      <c r="BE6" s="128"/>
      <c r="BF6" s="128"/>
      <c r="BG6" s="128"/>
      <c r="BH6" s="128"/>
      <c r="BI6" s="128"/>
      <c r="BJ6" s="128"/>
    </row>
    <row r="7" spans="3:63" ht="9" customHeight="1" x14ac:dyDescent="0.25">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D7" s="128"/>
      <c r="BE7" s="128"/>
      <c r="BF7" s="128"/>
      <c r="BG7" s="128"/>
      <c r="BH7" s="128"/>
      <c r="BI7" s="128"/>
      <c r="BJ7" s="128"/>
      <c r="BK7" s="41" t="s">
        <v>145</v>
      </c>
    </row>
    <row r="8" spans="3:63" ht="18" customHeight="1" x14ac:dyDescent="0.25">
      <c r="C8" s="109" t="s">
        <v>113</v>
      </c>
      <c r="D8" s="109"/>
      <c r="E8" s="109"/>
      <c r="F8" s="109"/>
      <c r="G8" s="109"/>
      <c r="H8" s="109"/>
      <c r="I8" s="109"/>
      <c r="J8" s="110"/>
      <c r="K8" s="4" t="s">
        <v>5</v>
      </c>
      <c r="L8" s="102"/>
      <c r="M8" s="112"/>
      <c r="N8" s="112"/>
      <c r="O8" s="112"/>
      <c r="P8" s="112"/>
      <c r="Q8" s="112"/>
      <c r="R8" s="112"/>
      <c r="S8" s="112"/>
      <c r="T8" s="112"/>
      <c r="U8" s="112"/>
      <c r="V8" s="112"/>
      <c r="W8" s="112"/>
      <c r="X8" s="112"/>
      <c r="Y8" s="112"/>
      <c r="Z8" s="112"/>
      <c r="AA8" s="112"/>
      <c r="AB8" s="113"/>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D8" s="127" t="s">
        <v>21</v>
      </c>
      <c r="BE8" s="127"/>
      <c r="BF8" s="127"/>
      <c r="BG8" s="127"/>
      <c r="BH8" s="127"/>
      <c r="BI8" s="127"/>
      <c r="BJ8" s="127"/>
      <c r="BK8" s="41" t="s">
        <v>146</v>
      </c>
    </row>
    <row r="9" spans="3:63" ht="9" customHeight="1" x14ac:dyDescent="0.25">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D9" s="127"/>
      <c r="BE9" s="127"/>
      <c r="BF9" s="127"/>
      <c r="BG9" s="127"/>
      <c r="BH9" s="127"/>
      <c r="BI9" s="127"/>
      <c r="BJ9" s="127"/>
      <c r="BK9" s="41" t="s">
        <v>147</v>
      </c>
    </row>
    <row r="10" spans="3:63" ht="18" customHeight="1" x14ac:dyDescent="0.25">
      <c r="C10" s="109" t="s">
        <v>15</v>
      </c>
      <c r="D10" s="109"/>
      <c r="E10" s="109"/>
      <c r="F10" s="109"/>
      <c r="G10" s="109"/>
      <c r="H10" s="109"/>
      <c r="I10" s="109"/>
      <c r="J10" s="110"/>
      <c r="K10" s="4" t="s">
        <v>5</v>
      </c>
      <c r="L10" s="111"/>
      <c r="M10" s="112"/>
      <c r="N10" s="112"/>
      <c r="O10" s="112"/>
      <c r="P10" s="112"/>
      <c r="Q10" s="112"/>
      <c r="R10" s="112"/>
      <c r="S10" s="112"/>
      <c r="T10" s="112"/>
      <c r="U10" s="112"/>
      <c r="V10" s="112"/>
      <c r="W10" s="112"/>
      <c r="X10" s="112"/>
      <c r="Y10" s="112"/>
      <c r="Z10" s="112"/>
      <c r="AA10" s="112"/>
      <c r="AB10" s="113"/>
      <c r="AC10" s="91"/>
      <c r="AD10" s="109" t="s">
        <v>112</v>
      </c>
      <c r="AE10" s="110"/>
      <c r="AF10" s="110"/>
      <c r="AG10" s="110"/>
      <c r="AH10" s="110"/>
      <c r="AI10" s="110"/>
      <c r="AJ10" s="110"/>
      <c r="AK10" s="110"/>
      <c r="AL10" s="110"/>
      <c r="AM10" s="4" t="s">
        <v>5</v>
      </c>
      <c r="AN10" s="102"/>
      <c r="AO10" s="103"/>
      <c r="AP10" s="103"/>
      <c r="AQ10" s="103"/>
      <c r="AR10" s="103"/>
      <c r="AS10" s="103"/>
      <c r="AT10" s="103"/>
      <c r="AU10" s="103"/>
      <c r="AV10" s="103"/>
      <c r="AW10" s="103"/>
      <c r="AX10" s="103"/>
      <c r="AY10" s="103"/>
      <c r="AZ10" s="104"/>
      <c r="BA10" s="91"/>
      <c r="BD10" s="129" t="s">
        <v>120</v>
      </c>
      <c r="BE10" s="129"/>
      <c r="BF10" s="129"/>
      <c r="BG10" s="129"/>
      <c r="BH10" s="129"/>
      <c r="BI10" s="129"/>
      <c r="BJ10" s="129"/>
      <c r="BK10" s="41" t="s">
        <v>148</v>
      </c>
    </row>
    <row r="11" spans="3:63" ht="10.5" customHeight="1" x14ac:dyDescent="0.25">
      <c r="C11" s="91"/>
      <c r="D11" s="91"/>
      <c r="E11" s="91"/>
      <c r="F11" s="91"/>
      <c r="G11" s="92" t="s">
        <v>115</v>
      </c>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D11" s="129"/>
      <c r="BE11" s="129"/>
      <c r="BF11" s="129"/>
      <c r="BG11" s="129"/>
      <c r="BH11" s="129"/>
      <c r="BI11" s="129"/>
      <c r="BJ11" s="129"/>
      <c r="BK11" s="41" t="s">
        <v>149</v>
      </c>
    </row>
    <row r="12" spans="3:63" ht="13.95" customHeight="1" x14ac:dyDescent="0.25">
      <c r="C12" s="105" t="s">
        <v>214</v>
      </c>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91"/>
      <c r="AF12" s="107" t="s">
        <v>5</v>
      </c>
      <c r="AG12" s="96" t="s">
        <v>114</v>
      </c>
      <c r="AH12" s="97"/>
      <c r="AI12" s="97"/>
      <c r="AJ12" s="97"/>
      <c r="AK12" s="97"/>
      <c r="AL12" s="98"/>
      <c r="AM12" s="91"/>
      <c r="AN12" s="91"/>
      <c r="AO12" s="91"/>
      <c r="AP12" s="91"/>
      <c r="AQ12" s="91"/>
      <c r="AR12" s="91"/>
      <c r="AS12" s="91"/>
      <c r="AT12" s="91"/>
      <c r="AU12" s="91"/>
      <c r="AV12" s="91"/>
      <c r="AW12" s="91"/>
      <c r="AX12" s="91"/>
      <c r="AY12" s="91"/>
      <c r="AZ12" s="91"/>
      <c r="BA12" s="91"/>
      <c r="BD12" s="130" t="s">
        <v>36</v>
      </c>
      <c r="BE12" s="131"/>
      <c r="BF12" s="131"/>
      <c r="BG12" s="131"/>
      <c r="BH12" s="131"/>
      <c r="BI12" s="131"/>
      <c r="BJ12" s="131"/>
      <c r="BK12" s="41" t="s">
        <v>150</v>
      </c>
    </row>
    <row r="13" spans="3:63" ht="13.95" customHeight="1" x14ac:dyDescent="0.25">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91"/>
      <c r="AF13" s="108"/>
      <c r="AG13" s="99"/>
      <c r="AH13" s="100"/>
      <c r="AI13" s="100"/>
      <c r="AJ13" s="100"/>
      <c r="AK13" s="100"/>
      <c r="AL13" s="101"/>
      <c r="AM13" s="91"/>
      <c r="AN13" s="91"/>
      <c r="AO13" s="91"/>
      <c r="AP13" s="91"/>
      <c r="AQ13" s="91"/>
      <c r="AR13" s="91"/>
      <c r="AS13" s="91"/>
      <c r="AT13" s="91"/>
      <c r="AU13" s="91"/>
      <c r="AV13" s="91"/>
      <c r="AW13" s="91"/>
      <c r="AX13" s="91"/>
      <c r="AY13" s="91"/>
      <c r="AZ13" s="91"/>
      <c r="BA13" s="91"/>
      <c r="BD13" s="131"/>
      <c r="BE13" s="131"/>
      <c r="BF13" s="131"/>
      <c r="BG13" s="131"/>
      <c r="BH13" s="131"/>
      <c r="BI13" s="131"/>
      <c r="BJ13" s="131"/>
      <c r="BK13" s="41" t="s">
        <v>7</v>
      </c>
    </row>
    <row r="14" spans="3:63" ht="10.5" customHeight="1" x14ac:dyDescent="0.6">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1"/>
      <c r="AN14" s="91"/>
      <c r="AO14" s="91"/>
      <c r="AP14" s="91"/>
      <c r="AQ14" s="91"/>
      <c r="AR14" s="91"/>
      <c r="AS14" s="91"/>
      <c r="AT14" s="91"/>
      <c r="AU14" s="91"/>
      <c r="AV14" s="91"/>
      <c r="AW14" s="91"/>
      <c r="AX14" s="91"/>
      <c r="AY14" s="91"/>
      <c r="AZ14" s="91"/>
      <c r="BA14" s="91"/>
      <c r="BD14" s="94"/>
      <c r="BE14" s="116" t="s">
        <v>126</v>
      </c>
      <c r="BF14" s="117"/>
      <c r="BG14" s="117"/>
      <c r="BH14" s="117"/>
      <c r="BI14" s="117"/>
      <c r="BK14" s="41" t="s">
        <v>151</v>
      </c>
    </row>
    <row r="15" spans="3:63" ht="13.95" customHeight="1" x14ac:dyDescent="0.3">
      <c r="C15" s="105" t="s">
        <v>215</v>
      </c>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91"/>
      <c r="AF15" s="107" t="s">
        <v>5</v>
      </c>
      <c r="AG15" s="96" t="s">
        <v>114</v>
      </c>
      <c r="AH15" s="97"/>
      <c r="AI15" s="97"/>
      <c r="AJ15" s="97"/>
      <c r="AK15" s="97"/>
      <c r="AL15" s="98"/>
      <c r="AM15" s="91"/>
      <c r="AN15" s="91"/>
      <c r="AO15" s="91"/>
      <c r="AP15" s="91"/>
      <c r="AQ15" s="91"/>
      <c r="AR15" s="91"/>
      <c r="AS15" s="91"/>
      <c r="AT15" s="91"/>
      <c r="AU15" s="91"/>
      <c r="AV15" s="91"/>
      <c r="AW15" s="91"/>
      <c r="AX15" s="91"/>
      <c r="AY15" s="91"/>
      <c r="AZ15" s="91"/>
      <c r="BA15" s="91"/>
      <c r="BD15" s="6"/>
      <c r="BE15" s="117"/>
      <c r="BF15" s="117"/>
      <c r="BG15" s="117"/>
      <c r="BH15" s="117"/>
      <c r="BI15" s="117"/>
      <c r="BK15" s="41" t="s">
        <v>154</v>
      </c>
    </row>
    <row r="16" spans="3:63" ht="13.95" customHeight="1" x14ac:dyDescent="0.25">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91"/>
      <c r="AF16" s="108"/>
      <c r="AG16" s="99"/>
      <c r="AH16" s="100"/>
      <c r="AI16" s="100"/>
      <c r="AJ16" s="100"/>
      <c r="AK16" s="100"/>
      <c r="AL16" s="101"/>
      <c r="AM16" s="91"/>
      <c r="AN16" s="91"/>
      <c r="AO16" s="91"/>
      <c r="AP16" s="91"/>
      <c r="AQ16" s="91"/>
      <c r="AR16" s="91"/>
      <c r="AS16" s="91"/>
      <c r="AT16" s="91"/>
      <c r="AU16" s="91"/>
      <c r="AV16" s="91"/>
      <c r="AW16" s="91"/>
      <c r="AX16" s="91"/>
      <c r="AY16" s="91"/>
      <c r="AZ16" s="91"/>
      <c r="BA16" s="91"/>
      <c r="BK16" s="41" t="s">
        <v>152</v>
      </c>
    </row>
    <row r="17" spans="3:63" ht="10.5" customHeight="1" x14ac:dyDescent="0.25">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E17" s="114" t="s">
        <v>236</v>
      </c>
      <c r="BF17" s="114"/>
      <c r="BG17" s="114"/>
      <c r="BH17" s="114"/>
      <c r="BI17" s="114"/>
      <c r="BK17" s="41" t="s">
        <v>153</v>
      </c>
    </row>
    <row r="18" spans="3:63" ht="13.95" customHeight="1" x14ac:dyDescent="0.25">
      <c r="C18" s="105" t="s">
        <v>216</v>
      </c>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91"/>
      <c r="AF18" s="107" t="s">
        <v>5</v>
      </c>
      <c r="AG18" s="96" t="s">
        <v>114</v>
      </c>
      <c r="AH18" s="97"/>
      <c r="AI18" s="97"/>
      <c r="AJ18" s="97"/>
      <c r="AK18" s="97"/>
      <c r="AL18" s="98"/>
      <c r="AM18" s="91"/>
      <c r="AN18" s="91"/>
      <c r="AO18" s="91"/>
      <c r="AP18" s="91"/>
      <c r="AQ18" s="91"/>
      <c r="AR18" s="91"/>
      <c r="AS18" s="91"/>
      <c r="AT18" s="91"/>
      <c r="AU18" s="91"/>
      <c r="AV18" s="91"/>
      <c r="AW18" s="91"/>
      <c r="AX18" s="91"/>
      <c r="AY18" s="91"/>
      <c r="AZ18" s="91"/>
      <c r="BA18" s="91"/>
      <c r="BE18" s="114"/>
      <c r="BF18" s="114"/>
      <c r="BG18" s="114"/>
      <c r="BH18" s="114"/>
      <c r="BI18" s="114"/>
    </row>
    <row r="19" spans="3:63" ht="13.95" customHeight="1" x14ac:dyDescent="0.25">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91"/>
      <c r="AF19" s="108"/>
      <c r="AG19" s="99"/>
      <c r="AH19" s="100"/>
      <c r="AI19" s="100"/>
      <c r="AJ19" s="100"/>
      <c r="AK19" s="100"/>
      <c r="AL19" s="101"/>
      <c r="AM19" s="91"/>
      <c r="AN19" s="91"/>
      <c r="AO19" s="91"/>
      <c r="AP19" s="91"/>
      <c r="AQ19" s="91"/>
      <c r="AR19" s="91"/>
      <c r="AS19" s="91"/>
      <c r="AT19" s="91"/>
      <c r="AU19" s="91"/>
      <c r="AV19" s="91"/>
      <c r="AW19" s="91"/>
      <c r="AX19" s="91"/>
      <c r="AY19" s="91"/>
      <c r="AZ19" s="91"/>
      <c r="BA19" s="91"/>
      <c r="BE19" s="114"/>
      <c r="BF19" s="114"/>
      <c r="BG19" s="114"/>
      <c r="BH19" s="114"/>
      <c r="BI19" s="114"/>
    </row>
    <row r="20" spans="3:63" ht="10.5" customHeight="1" x14ac:dyDescent="0.25">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E20" s="114"/>
      <c r="BF20" s="114"/>
      <c r="BG20" s="114"/>
      <c r="BH20" s="114"/>
      <c r="BI20" s="114"/>
    </row>
    <row r="21" spans="3:63" ht="13.95" customHeight="1" x14ac:dyDescent="0.25">
      <c r="C21" s="105" t="s">
        <v>159</v>
      </c>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91"/>
      <c r="AF21" s="107" t="s">
        <v>5</v>
      </c>
      <c r="AG21" s="96" t="s">
        <v>114</v>
      </c>
      <c r="AH21" s="97"/>
      <c r="AI21" s="97"/>
      <c r="AJ21" s="97"/>
      <c r="AK21" s="97"/>
      <c r="AL21" s="98"/>
      <c r="AM21" s="91"/>
      <c r="AN21" s="91"/>
      <c r="AO21" s="91"/>
      <c r="AP21" s="91"/>
      <c r="AQ21" s="91"/>
      <c r="AR21" s="91"/>
      <c r="AS21" s="91"/>
      <c r="AT21" s="91"/>
      <c r="AU21" s="91"/>
      <c r="AV21" s="91"/>
      <c r="AW21" s="91"/>
      <c r="AX21" s="91"/>
      <c r="AY21" s="91"/>
      <c r="AZ21" s="91"/>
      <c r="BA21" s="91"/>
      <c r="BE21" s="114"/>
      <c r="BF21" s="114"/>
      <c r="BG21" s="114"/>
      <c r="BH21" s="114"/>
      <c r="BI21" s="114"/>
    </row>
    <row r="22" spans="3:63" ht="13.95" customHeight="1" x14ac:dyDescent="0.25">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91"/>
      <c r="AF22" s="108"/>
      <c r="AG22" s="99"/>
      <c r="AH22" s="100"/>
      <c r="AI22" s="100"/>
      <c r="AJ22" s="100"/>
      <c r="AK22" s="100"/>
      <c r="AL22" s="101"/>
      <c r="AM22" s="91"/>
      <c r="AN22" s="91"/>
      <c r="AO22" s="91"/>
      <c r="AP22" s="91"/>
      <c r="AQ22" s="91"/>
      <c r="AR22" s="91"/>
      <c r="AS22" s="91"/>
      <c r="AT22" s="91"/>
      <c r="AU22" s="91"/>
      <c r="AV22" s="91"/>
      <c r="AW22" s="91"/>
      <c r="AX22" s="91"/>
      <c r="AY22" s="91"/>
      <c r="AZ22" s="91"/>
      <c r="BA22" s="91"/>
      <c r="BE22" s="115"/>
      <c r="BF22" s="115"/>
      <c r="BG22" s="115"/>
      <c r="BH22" s="115"/>
      <c r="BI22" s="115"/>
    </row>
    <row r="23" spans="3:63" ht="10.5" customHeight="1" x14ac:dyDescent="0.25">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D23" s="95"/>
      <c r="BE23" s="122" t="s">
        <v>123</v>
      </c>
      <c r="BF23" s="123"/>
      <c r="BG23" s="123"/>
      <c r="BH23" s="123"/>
      <c r="BI23" s="123"/>
    </row>
    <row r="24" spans="3:63" ht="13.95" customHeight="1" x14ac:dyDescent="0.25">
      <c r="C24" s="105" t="s">
        <v>160</v>
      </c>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91"/>
      <c r="AF24" s="107" t="s">
        <v>5</v>
      </c>
      <c r="AG24" s="96" t="s">
        <v>114</v>
      </c>
      <c r="AH24" s="97"/>
      <c r="AI24" s="97"/>
      <c r="AJ24" s="97"/>
      <c r="AK24" s="97"/>
      <c r="AL24" s="98"/>
      <c r="AM24" s="93"/>
      <c r="AN24" s="93"/>
      <c r="AO24" s="91"/>
      <c r="AP24" s="91"/>
      <c r="AQ24" s="91"/>
      <c r="AR24" s="91"/>
      <c r="AS24" s="91"/>
      <c r="AT24" s="91"/>
      <c r="AU24" s="91"/>
      <c r="AV24" s="91"/>
      <c r="AW24" s="91"/>
      <c r="AX24" s="91"/>
      <c r="AY24" s="91"/>
      <c r="AZ24" s="91"/>
      <c r="BA24" s="91"/>
      <c r="BD24" s="95"/>
      <c r="BE24" s="122"/>
      <c r="BF24" s="123"/>
      <c r="BG24" s="123"/>
      <c r="BH24" s="123"/>
      <c r="BI24" s="123"/>
    </row>
    <row r="25" spans="3:63" ht="13.95" customHeight="1" x14ac:dyDescent="0.25">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91"/>
      <c r="AF25" s="108"/>
      <c r="AG25" s="99"/>
      <c r="AH25" s="100"/>
      <c r="AI25" s="100"/>
      <c r="AJ25" s="100"/>
      <c r="AK25" s="100"/>
      <c r="AL25" s="101"/>
      <c r="AM25" s="91"/>
      <c r="AN25" s="91"/>
      <c r="AO25" s="91"/>
      <c r="AP25" s="91"/>
      <c r="AQ25" s="91"/>
      <c r="AR25" s="91"/>
      <c r="AS25" s="91"/>
      <c r="AT25" s="91"/>
      <c r="AU25" s="91"/>
      <c r="AV25" s="91"/>
      <c r="AW25" s="91"/>
      <c r="AX25" s="91"/>
      <c r="AY25" s="91"/>
      <c r="AZ25" s="91"/>
      <c r="BA25" s="91"/>
      <c r="BD25" s="95"/>
      <c r="BE25" s="122"/>
      <c r="BF25" s="123"/>
      <c r="BG25" s="123"/>
      <c r="BH25" s="123"/>
      <c r="BI25" s="123"/>
    </row>
    <row r="26" spans="3:63" ht="13.95" customHeight="1" x14ac:dyDescent="0.25">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1"/>
      <c r="AO26" s="91"/>
      <c r="AP26" s="91"/>
      <c r="AQ26" s="91"/>
      <c r="AR26" s="91"/>
      <c r="AS26" s="91"/>
      <c r="AT26" s="91"/>
      <c r="AU26" s="91"/>
      <c r="AV26" s="91"/>
      <c r="AW26" s="91"/>
      <c r="AX26" s="91"/>
      <c r="AY26" s="91"/>
      <c r="AZ26" s="91"/>
      <c r="BA26" s="91"/>
      <c r="BD26" s="95"/>
      <c r="BE26" s="122"/>
      <c r="BF26" s="123"/>
      <c r="BG26" s="123"/>
      <c r="BH26" s="123"/>
      <c r="BI26" s="123"/>
    </row>
    <row r="27" spans="3:63" ht="18" customHeight="1" x14ac:dyDescent="0.3">
      <c r="C27" s="109" t="s">
        <v>235</v>
      </c>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20"/>
      <c r="AF27" s="4" t="s">
        <v>5</v>
      </c>
      <c r="AG27" s="121"/>
      <c r="AH27" s="112"/>
      <c r="AI27" s="112"/>
      <c r="AJ27" s="112"/>
      <c r="AK27" s="112"/>
      <c r="AL27" s="112"/>
      <c r="AM27" s="112"/>
      <c r="AN27" s="112"/>
      <c r="AO27" s="112"/>
      <c r="AP27" s="112"/>
      <c r="AQ27" s="112"/>
      <c r="AR27" s="112"/>
      <c r="AS27" s="112"/>
      <c r="AT27" s="112"/>
      <c r="AU27" s="112"/>
      <c r="AV27" s="112"/>
      <c r="AW27" s="113"/>
      <c r="AX27" s="91"/>
      <c r="AY27" s="91"/>
      <c r="AZ27" s="91"/>
      <c r="BA27" s="91"/>
      <c r="BD27" s="95"/>
      <c r="BE27" s="122"/>
      <c r="BF27" s="123"/>
      <c r="BG27" s="123"/>
      <c r="BH27" s="123"/>
      <c r="BI27" s="123"/>
    </row>
    <row r="28" spans="3:63" ht="10.5" customHeight="1" x14ac:dyDescent="0.25">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D28" s="95"/>
      <c r="BE28" s="122"/>
      <c r="BF28" s="123"/>
      <c r="BG28" s="123"/>
      <c r="BH28" s="123"/>
      <c r="BI28" s="123"/>
    </row>
    <row r="29" spans="3:63" ht="18" customHeight="1" x14ac:dyDescent="0.25">
      <c r="C29" s="109" t="s">
        <v>11</v>
      </c>
      <c r="D29" s="110"/>
      <c r="E29" s="110"/>
      <c r="F29" s="110"/>
      <c r="G29" s="4" t="s">
        <v>5</v>
      </c>
      <c r="H29" s="102"/>
      <c r="I29" s="112"/>
      <c r="J29" s="112"/>
      <c r="K29" s="112"/>
      <c r="L29" s="112"/>
      <c r="M29" s="112"/>
      <c r="N29" s="112"/>
      <c r="O29" s="112"/>
      <c r="P29" s="112"/>
      <c r="Q29" s="112"/>
      <c r="R29" s="112"/>
      <c r="S29" s="112"/>
      <c r="T29" s="112"/>
      <c r="U29" s="112"/>
      <c r="V29" s="112"/>
      <c r="W29" s="113"/>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D29" s="95"/>
      <c r="BE29" s="123"/>
      <c r="BF29" s="123"/>
      <c r="BG29" s="123"/>
      <c r="BH29" s="123"/>
      <c r="BI29" s="123"/>
    </row>
    <row r="30" spans="3:63" ht="15" customHeight="1" x14ac:dyDescent="0.25">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D30" s="95"/>
      <c r="BE30" s="123"/>
      <c r="BF30" s="123"/>
      <c r="BG30" s="123"/>
      <c r="BH30" s="123"/>
      <c r="BI30" s="123"/>
    </row>
    <row r="31" spans="3:63" ht="18" customHeight="1" x14ac:dyDescent="0.25">
      <c r="C31" s="109" t="s">
        <v>12</v>
      </c>
      <c r="D31" s="110"/>
      <c r="E31" s="110"/>
      <c r="F31" s="110"/>
      <c r="G31" s="4" t="s">
        <v>5</v>
      </c>
      <c r="H31" s="111"/>
      <c r="I31" s="118"/>
      <c r="J31" s="118"/>
      <c r="K31" s="118"/>
      <c r="L31" s="118"/>
      <c r="M31" s="118"/>
      <c r="N31" s="118"/>
      <c r="O31" s="118"/>
      <c r="P31" s="118"/>
      <c r="Q31" s="118"/>
      <c r="R31" s="118"/>
      <c r="S31" s="119"/>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D31" s="95"/>
      <c r="BE31" s="123"/>
      <c r="BF31" s="123"/>
      <c r="BG31" s="123"/>
      <c r="BH31" s="123"/>
      <c r="BI31" s="123"/>
    </row>
    <row r="32" spans="3:63" ht="9.9" customHeight="1" x14ac:dyDescent="0.25">
      <c r="BD32" s="95"/>
      <c r="BE32" s="123"/>
      <c r="BF32" s="123"/>
      <c r="BG32" s="123"/>
      <c r="BH32" s="123"/>
      <c r="BI32" s="123"/>
    </row>
    <row r="33" spans="55:60" x14ac:dyDescent="0.25">
      <c r="BC33" s="41">
        <f>O16</f>
        <v>0</v>
      </c>
      <c r="BD33" s="41">
        <f>O16</f>
        <v>0</v>
      </c>
      <c r="BE33" s="41">
        <f>O16</f>
        <v>0</v>
      </c>
      <c r="BF33" s="41">
        <f>O16</f>
        <v>0</v>
      </c>
      <c r="BG33" s="41">
        <f>O16</f>
        <v>0</v>
      </c>
      <c r="BH33" s="41">
        <f>O16</f>
        <v>0</v>
      </c>
    </row>
    <row r="34" spans="55:60" x14ac:dyDescent="0.25">
      <c r="BC34" s="41" t="b">
        <f t="shared" ref="BC34:BH34" si="0">ISNA(VLOOKUP(BC33,BC35:BC74,1,FALSE))</f>
        <v>1</v>
      </c>
      <c r="BD34" s="41" t="b">
        <f t="shared" si="0"/>
        <v>1</v>
      </c>
      <c r="BE34" s="41" t="b">
        <f t="shared" si="0"/>
        <v>1</v>
      </c>
      <c r="BF34" s="41" t="b">
        <f t="shared" si="0"/>
        <v>1</v>
      </c>
      <c r="BG34" s="41" t="b">
        <f t="shared" si="0"/>
        <v>1</v>
      </c>
      <c r="BH34" s="41" t="b">
        <f t="shared" si="0"/>
        <v>1</v>
      </c>
    </row>
    <row r="35" spans="55:60" x14ac:dyDescent="0.25">
      <c r="BC35" s="41">
        <v>57700</v>
      </c>
      <c r="BD35" s="41">
        <v>68900</v>
      </c>
      <c r="BE35" s="41">
        <v>79800</v>
      </c>
      <c r="BF35" s="41">
        <v>131400</v>
      </c>
      <c r="BG35" s="41">
        <v>144200</v>
      </c>
      <c r="BH35" s="41">
        <v>182200</v>
      </c>
    </row>
    <row r="36" spans="55:60" x14ac:dyDescent="0.25">
      <c r="BC36" s="41">
        <f t="shared" ref="BC36:BH36" si="1">MROUND(BC35*1.03,100)</f>
        <v>59400</v>
      </c>
      <c r="BD36" s="41">
        <f t="shared" si="1"/>
        <v>71000</v>
      </c>
      <c r="BE36" s="41">
        <f t="shared" si="1"/>
        <v>82200</v>
      </c>
      <c r="BF36" s="41">
        <f t="shared" si="1"/>
        <v>135300</v>
      </c>
      <c r="BG36" s="41">
        <f t="shared" si="1"/>
        <v>148500</v>
      </c>
      <c r="BH36" s="41">
        <f t="shared" si="1"/>
        <v>187700</v>
      </c>
    </row>
    <row r="37" spans="55:60" x14ac:dyDescent="0.25">
      <c r="BC37" s="41">
        <f t="shared" ref="BC37:BC74" si="2">MROUND(BC36*1.03,100)</f>
        <v>61200</v>
      </c>
      <c r="BD37" s="41">
        <f t="shared" ref="BD37:BD59" si="3">MROUND(BD36*1.03,100)</f>
        <v>73100</v>
      </c>
      <c r="BE37" s="41">
        <f t="shared" ref="BE37:BE68" si="4">MROUND(BE36*1.03,100)</f>
        <v>84700</v>
      </c>
      <c r="BF37" s="41">
        <f t="shared" ref="BF37:BF52" si="5">MROUND(BF36*1.03,100)</f>
        <v>139400</v>
      </c>
      <c r="BG37" s="41">
        <f t="shared" ref="BG37:BG49" si="6">MROUND(BG36*1.03,100)</f>
        <v>153000</v>
      </c>
      <c r="BH37" s="41">
        <f t="shared" ref="BH37:BH42" si="7">MROUND(BH36*1.03,100)</f>
        <v>193300</v>
      </c>
    </row>
    <row r="38" spans="55:60" x14ac:dyDescent="0.25">
      <c r="BC38" s="41">
        <f t="shared" si="2"/>
        <v>63000</v>
      </c>
      <c r="BD38" s="41">
        <f t="shared" si="3"/>
        <v>75300</v>
      </c>
      <c r="BE38" s="41">
        <f t="shared" si="4"/>
        <v>87200</v>
      </c>
      <c r="BF38" s="41">
        <f t="shared" si="5"/>
        <v>143600</v>
      </c>
      <c r="BG38" s="41">
        <f t="shared" si="6"/>
        <v>157600</v>
      </c>
      <c r="BH38" s="41">
        <f t="shared" si="7"/>
        <v>199100</v>
      </c>
    </row>
    <row r="39" spans="55:60" x14ac:dyDescent="0.25">
      <c r="BC39" s="41">
        <f t="shared" si="2"/>
        <v>64900</v>
      </c>
      <c r="BD39" s="41">
        <f t="shared" si="3"/>
        <v>77600</v>
      </c>
      <c r="BE39" s="41">
        <f t="shared" si="4"/>
        <v>89800</v>
      </c>
      <c r="BF39" s="41">
        <f t="shared" si="5"/>
        <v>147900</v>
      </c>
      <c r="BG39" s="41">
        <f t="shared" si="6"/>
        <v>162300</v>
      </c>
      <c r="BH39" s="41">
        <f t="shared" si="7"/>
        <v>205100</v>
      </c>
    </row>
    <row r="40" spans="55:60" x14ac:dyDescent="0.25">
      <c r="BC40" s="41">
        <f t="shared" si="2"/>
        <v>66800</v>
      </c>
      <c r="BD40" s="41">
        <f t="shared" si="3"/>
        <v>79900</v>
      </c>
      <c r="BE40" s="41">
        <f t="shared" si="4"/>
        <v>92500</v>
      </c>
      <c r="BF40" s="41">
        <f t="shared" si="5"/>
        <v>152300</v>
      </c>
      <c r="BG40" s="41">
        <f t="shared" si="6"/>
        <v>167200</v>
      </c>
      <c r="BH40" s="41">
        <f t="shared" si="7"/>
        <v>211300</v>
      </c>
    </row>
    <row r="41" spans="55:60" x14ac:dyDescent="0.25">
      <c r="BC41" s="41">
        <f t="shared" si="2"/>
        <v>68800</v>
      </c>
      <c r="BD41" s="41">
        <f t="shared" si="3"/>
        <v>82300</v>
      </c>
      <c r="BE41" s="41">
        <f t="shared" si="4"/>
        <v>95300</v>
      </c>
      <c r="BF41" s="41">
        <f t="shared" si="5"/>
        <v>156900</v>
      </c>
      <c r="BG41" s="41">
        <f t="shared" si="6"/>
        <v>172200</v>
      </c>
      <c r="BH41" s="41">
        <f t="shared" si="7"/>
        <v>217600</v>
      </c>
    </row>
    <row r="42" spans="55:60" x14ac:dyDescent="0.25">
      <c r="BC42" s="41">
        <f t="shared" si="2"/>
        <v>70900</v>
      </c>
      <c r="BD42" s="41">
        <f t="shared" si="3"/>
        <v>84800</v>
      </c>
      <c r="BE42" s="41">
        <f t="shared" si="4"/>
        <v>98200</v>
      </c>
      <c r="BF42" s="41">
        <f t="shared" si="5"/>
        <v>161600</v>
      </c>
      <c r="BG42" s="41">
        <f t="shared" si="6"/>
        <v>177400</v>
      </c>
      <c r="BH42" s="41">
        <f t="shared" si="7"/>
        <v>224100</v>
      </c>
    </row>
    <row r="43" spans="55:60" x14ac:dyDescent="0.25">
      <c r="BC43" s="41">
        <f t="shared" si="2"/>
        <v>73000</v>
      </c>
      <c r="BD43" s="41">
        <f t="shared" si="3"/>
        <v>87300</v>
      </c>
      <c r="BE43" s="41">
        <f t="shared" si="4"/>
        <v>101100</v>
      </c>
      <c r="BF43" s="41">
        <f t="shared" si="5"/>
        <v>166400</v>
      </c>
      <c r="BG43" s="41">
        <f t="shared" si="6"/>
        <v>182700</v>
      </c>
      <c r="BH43" s="41"/>
    </row>
    <row r="44" spans="55:60" x14ac:dyDescent="0.25">
      <c r="BC44" s="41">
        <f t="shared" si="2"/>
        <v>75200</v>
      </c>
      <c r="BD44" s="41">
        <f t="shared" si="3"/>
        <v>89900</v>
      </c>
      <c r="BE44" s="41">
        <f t="shared" si="4"/>
        <v>104100</v>
      </c>
      <c r="BF44" s="41">
        <f t="shared" si="5"/>
        <v>171400</v>
      </c>
      <c r="BG44" s="41">
        <f t="shared" si="6"/>
        <v>188200</v>
      </c>
      <c r="BH44" s="41"/>
    </row>
    <row r="45" spans="55:60" x14ac:dyDescent="0.25">
      <c r="BC45" s="41">
        <f t="shared" si="2"/>
        <v>77500</v>
      </c>
      <c r="BD45" s="41">
        <f t="shared" si="3"/>
        <v>92600</v>
      </c>
      <c r="BE45" s="41">
        <f t="shared" si="4"/>
        <v>107200</v>
      </c>
      <c r="BF45" s="41">
        <f t="shared" si="5"/>
        <v>176500</v>
      </c>
      <c r="BG45" s="41">
        <f t="shared" si="6"/>
        <v>193800</v>
      </c>
      <c r="BH45" s="41"/>
    </row>
    <row r="46" spans="55:60" x14ac:dyDescent="0.25">
      <c r="BC46" s="41">
        <f t="shared" si="2"/>
        <v>79800</v>
      </c>
      <c r="BD46" s="41">
        <f t="shared" si="3"/>
        <v>95400</v>
      </c>
      <c r="BE46" s="41">
        <f t="shared" si="4"/>
        <v>110400</v>
      </c>
      <c r="BF46" s="41">
        <f t="shared" si="5"/>
        <v>181800</v>
      </c>
      <c r="BG46" s="41">
        <f t="shared" si="6"/>
        <v>199600</v>
      </c>
      <c r="BH46" s="41"/>
    </row>
    <row r="47" spans="55:60" x14ac:dyDescent="0.25">
      <c r="BC47" s="41">
        <f t="shared" si="2"/>
        <v>82200</v>
      </c>
      <c r="BD47" s="41">
        <f t="shared" si="3"/>
        <v>98300</v>
      </c>
      <c r="BE47" s="41">
        <f t="shared" si="4"/>
        <v>113700</v>
      </c>
      <c r="BF47" s="41">
        <f t="shared" si="5"/>
        <v>187300</v>
      </c>
      <c r="BG47" s="41">
        <f t="shared" si="6"/>
        <v>205600</v>
      </c>
      <c r="BH47" s="41"/>
    </row>
    <row r="48" spans="55:60" x14ac:dyDescent="0.25">
      <c r="BC48" s="41">
        <f t="shared" si="2"/>
        <v>84700</v>
      </c>
      <c r="BD48" s="41">
        <f t="shared" si="3"/>
        <v>101200</v>
      </c>
      <c r="BE48" s="41">
        <f t="shared" si="4"/>
        <v>117100</v>
      </c>
      <c r="BF48" s="41">
        <f t="shared" si="5"/>
        <v>192900</v>
      </c>
      <c r="BG48" s="41">
        <f t="shared" si="6"/>
        <v>211800</v>
      </c>
      <c r="BH48" s="41"/>
    </row>
    <row r="49" spans="55:60" x14ac:dyDescent="0.25">
      <c r="BC49" s="41">
        <f t="shared" si="2"/>
        <v>87200</v>
      </c>
      <c r="BD49" s="41">
        <f t="shared" si="3"/>
        <v>104200</v>
      </c>
      <c r="BE49" s="41">
        <f t="shared" si="4"/>
        <v>120600</v>
      </c>
      <c r="BF49" s="41">
        <f t="shared" si="5"/>
        <v>198700</v>
      </c>
      <c r="BG49" s="41">
        <f t="shared" si="6"/>
        <v>218200</v>
      </c>
      <c r="BH49" s="41"/>
    </row>
    <row r="50" spans="55:60" x14ac:dyDescent="0.25">
      <c r="BC50" s="41">
        <f t="shared" si="2"/>
        <v>89800</v>
      </c>
      <c r="BD50" s="41">
        <f t="shared" si="3"/>
        <v>107300</v>
      </c>
      <c r="BE50" s="41">
        <f t="shared" si="4"/>
        <v>124200</v>
      </c>
      <c r="BF50" s="41">
        <f t="shared" si="5"/>
        <v>204700</v>
      </c>
      <c r="BG50" s="41"/>
      <c r="BH50" s="41"/>
    </row>
    <row r="51" spans="55:60" x14ac:dyDescent="0.25">
      <c r="BC51" s="41">
        <f t="shared" si="2"/>
        <v>92500</v>
      </c>
      <c r="BD51" s="41">
        <f t="shared" si="3"/>
        <v>110500</v>
      </c>
      <c r="BE51" s="41">
        <f t="shared" si="4"/>
        <v>127900</v>
      </c>
      <c r="BF51" s="41">
        <f t="shared" si="5"/>
        <v>210800</v>
      </c>
      <c r="BG51" s="41"/>
      <c r="BH51" s="41"/>
    </row>
    <row r="52" spans="55:60" x14ac:dyDescent="0.25">
      <c r="BC52" s="41">
        <f t="shared" si="2"/>
        <v>95300</v>
      </c>
      <c r="BD52" s="41">
        <f t="shared" si="3"/>
        <v>113800</v>
      </c>
      <c r="BE52" s="41">
        <f t="shared" si="4"/>
        <v>131700</v>
      </c>
      <c r="BF52" s="41">
        <f t="shared" si="5"/>
        <v>217100</v>
      </c>
      <c r="BG52" s="41"/>
      <c r="BH52" s="41"/>
    </row>
    <row r="53" spans="55:60" x14ac:dyDescent="0.25">
      <c r="BC53" s="41">
        <f t="shared" si="2"/>
        <v>98200</v>
      </c>
      <c r="BD53" s="41">
        <f t="shared" si="3"/>
        <v>117200</v>
      </c>
      <c r="BE53" s="41">
        <f t="shared" si="4"/>
        <v>135700</v>
      </c>
      <c r="BF53" s="41"/>
      <c r="BG53" s="41"/>
      <c r="BH53" s="41"/>
    </row>
    <row r="54" spans="55:60" x14ac:dyDescent="0.25">
      <c r="BC54" s="41">
        <f t="shared" si="2"/>
        <v>101100</v>
      </c>
      <c r="BD54" s="41">
        <f t="shared" si="3"/>
        <v>120700</v>
      </c>
      <c r="BE54" s="41">
        <f t="shared" si="4"/>
        <v>139800</v>
      </c>
      <c r="BF54" s="41"/>
      <c r="BG54" s="41"/>
      <c r="BH54" s="41"/>
    </row>
    <row r="55" spans="55:60" x14ac:dyDescent="0.25">
      <c r="BC55" s="41">
        <f t="shared" si="2"/>
        <v>104100</v>
      </c>
      <c r="BD55" s="41">
        <f t="shared" si="3"/>
        <v>124300</v>
      </c>
      <c r="BE55" s="41">
        <f t="shared" si="4"/>
        <v>144000</v>
      </c>
      <c r="BF55" s="41"/>
      <c r="BG55" s="41"/>
      <c r="BH55" s="41"/>
    </row>
    <row r="56" spans="55:60" x14ac:dyDescent="0.25">
      <c r="BC56" s="41">
        <f t="shared" si="2"/>
        <v>107200</v>
      </c>
      <c r="BD56" s="41">
        <f t="shared" si="3"/>
        <v>128000</v>
      </c>
      <c r="BE56" s="41">
        <f t="shared" si="4"/>
        <v>148300</v>
      </c>
      <c r="BF56" s="41"/>
      <c r="BG56" s="41"/>
      <c r="BH56" s="41"/>
    </row>
    <row r="57" spans="55:60" x14ac:dyDescent="0.25">
      <c r="BC57" s="41">
        <f t="shared" si="2"/>
        <v>110400</v>
      </c>
      <c r="BD57" s="41">
        <f t="shared" si="3"/>
        <v>131800</v>
      </c>
      <c r="BE57" s="41">
        <f t="shared" si="4"/>
        <v>152700</v>
      </c>
      <c r="BF57" s="41"/>
      <c r="BG57" s="41"/>
      <c r="BH57" s="41"/>
    </row>
    <row r="58" spans="55:60" x14ac:dyDescent="0.25">
      <c r="BC58" s="41">
        <f t="shared" si="2"/>
        <v>113700</v>
      </c>
      <c r="BD58" s="41">
        <f t="shared" si="3"/>
        <v>135800</v>
      </c>
      <c r="BE58" s="41">
        <f t="shared" si="4"/>
        <v>157300</v>
      </c>
      <c r="BF58" s="41"/>
      <c r="BG58" s="41"/>
      <c r="BH58" s="41"/>
    </row>
    <row r="59" spans="55:60" x14ac:dyDescent="0.25">
      <c r="BC59" s="41">
        <f t="shared" si="2"/>
        <v>117100</v>
      </c>
      <c r="BD59" s="41">
        <f t="shared" si="3"/>
        <v>139900</v>
      </c>
      <c r="BE59" s="41">
        <f t="shared" si="4"/>
        <v>162000</v>
      </c>
      <c r="BF59" s="41"/>
      <c r="BG59" s="41"/>
      <c r="BH59" s="41"/>
    </row>
    <row r="60" spans="55:60" x14ac:dyDescent="0.25">
      <c r="BC60" s="41">
        <f t="shared" si="2"/>
        <v>120600</v>
      </c>
      <c r="BD60" s="41">
        <f>MROUND(BD59*1.03,100)</f>
        <v>144100</v>
      </c>
      <c r="BE60" s="41">
        <f t="shared" si="4"/>
        <v>166900</v>
      </c>
      <c r="BF60" s="41"/>
      <c r="BG60" s="41"/>
      <c r="BH60" s="41"/>
    </row>
    <row r="61" spans="55:60" x14ac:dyDescent="0.25">
      <c r="BC61" s="41">
        <f t="shared" si="2"/>
        <v>124200</v>
      </c>
      <c r="BD61" s="41">
        <f t="shared" ref="BD61:BD72" si="8">MROUND(BD60*1.03,100)</f>
        <v>148400</v>
      </c>
      <c r="BE61" s="41">
        <f t="shared" si="4"/>
        <v>171900</v>
      </c>
      <c r="BF61" s="41"/>
      <c r="BG61" s="41"/>
      <c r="BH61" s="41"/>
    </row>
    <row r="62" spans="55:60" x14ac:dyDescent="0.25">
      <c r="BC62" s="41">
        <f t="shared" si="2"/>
        <v>127900</v>
      </c>
      <c r="BD62" s="41">
        <f t="shared" si="8"/>
        <v>152900</v>
      </c>
      <c r="BE62" s="41">
        <f t="shared" si="4"/>
        <v>177100</v>
      </c>
      <c r="BF62" s="41"/>
      <c r="BG62" s="41"/>
      <c r="BH62" s="41"/>
    </row>
    <row r="63" spans="55:60" x14ac:dyDescent="0.25">
      <c r="BC63" s="41">
        <f t="shared" si="2"/>
        <v>131700</v>
      </c>
      <c r="BD63" s="41">
        <f t="shared" si="8"/>
        <v>157500</v>
      </c>
      <c r="BE63" s="41">
        <f t="shared" si="4"/>
        <v>182400</v>
      </c>
      <c r="BF63" s="41"/>
      <c r="BG63" s="41"/>
      <c r="BH63" s="41"/>
    </row>
    <row r="64" spans="55:60" x14ac:dyDescent="0.25">
      <c r="BC64" s="41">
        <f t="shared" si="2"/>
        <v>135700</v>
      </c>
      <c r="BD64" s="41">
        <f t="shared" si="8"/>
        <v>162200</v>
      </c>
      <c r="BE64" s="41">
        <f t="shared" si="4"/>
        <v>187900</v>
      </c>
      <c r="BF64" s="41"/>
      <c r="BG64" s="41"/>
      <c r="BH64" s="41"/>
    </row>
    <row r="65" spans="55:60" x14ac:dyDescent="0.25">
      <c r="BC65" s="41">
        <f t="shared" si="2"/>
        <v>139800</v>
      </c>
      <c r="BD65" s="41">
        <f t="shared" si="8"/>
        <v>167100</v>
      </c>
      <c r="BE65" s="41">
        <f t="shared" si="4"/>
        <v>193500</v>
      </c>
      <c r="BF65" s="41"/>
      <c r="BG65" s="41"/>
      <c r="BH65" s="41"/>
    </row>
    <row r="66" spans="55:60" x14ac:dyDescent="0.25">
      <c r="BC66" s="41">
        <f t="shared" si="2"/>
        <v>144000</v>
      </c>
      <c r="BD66" s="41">
        <f t="shared" si="8"/>
        <v>172100</v>
      </c>
      <c r="BE66" s="41">
        <f t="shared" si="4"/>
        <v>199300</v>
      </c>
      <c r="BF66" s="41"/>
      <c r="BG66" s="41"/>
      <c r="BH66" s="41"/>
    </row>
    <row r="67" spans="55:60" x14ac:dyDescent="0.25">
      <c r="BC67" s="41">
        <f t="shared" si="2"/>
        <v>148300</v>
      </c>
      <c r="BD67" s="41">
        <f t="shared" si="8"/>
        <v>177300</v>
      </c>
      <c r="BE67" s="41">
        <f t="shared" si="4"/>
        <v>205300</v>
      </c>
      <c r="BF67" s="41"/>
      <c r="BG67" s="41"/>
      <c r="BH67" s="41"/>
    </row>
    <row r="68" spans="55:60" x14ac:dyDescent="0.25">
      <c r="BC68" s="41">
        <f t="shared" si="2"/>
        <v>152700</v>
      </c>
      <c r="BD68" s="41">
        <f t="shared" si="8"/>
        <v>182600</v>
      </c>
      <c r="BE68" s="41">
        <f t="shared" si="4"/>
        <v>211500</v>
      </c>
      <c r="BF68" s="41"/>
      <c r="BG68" s="41"/>
      <c r="BH68" s="41"/>
    </row>
    <row r="69" spans="55:60" x14ac:dyDescent="0.25">
      <c r="BC69" s="41">
        <f t="shared" si="2"/>
        <v>157300</v>
      </c>
      <c r="BD69" s="41">
        <f t="shared" si="8"/>
        <v>188100</v>
      </c>
      <c r="BE69" s="41"/>
      <c r="BF69" s="41"/>
      <c r="BG69" s="41"/>
      <c r="BH69" s="41"/>
    </row>
    <row r="70" spans="55:60" x14ac:dyDescent="0.25">
      <c r="BC70" s="41">
        <f t="shared" si="2"/>
        <v>162000</v>
      </c>
      <c r="BD70" s="41">
        <f t="shared" si="8"/>
        <v>193700</v>
      </c>
      <c r="BE70" s="41"/>
      <c r="BF70" s="41"/>
      <c r="BG70" s="41"/>
      <c r="BH70" s="41"/>
    </row>
    <row r="71" spans="55:60" x14ac:dyDescent="0.25">
      <c r="BC71" s="41">
        <f t="shared" si="2"/>
        <v>166900</v>
      </c>
      <c r="BD71" s="41">
        <f t="shared" si="8"/>
        <v>199500</v>
      </c>
      <c r="BE71" s="41"/>
      <c r="BF71" s="41"/>
      <c r="BG71" s="41"/>
      <c r="BH71" s="41"/>
    </row>
    <row r="72" spans="55:60" x14ac:dyDescent="0.25">
      <c r="BC72" s="41">
        <f t="shared" si="2"/>
        <v>171900</v>
      </c>
      <c r="BD72" s="41">
        <f t="shared" si="8"/>
        <v>205500</v>
      </c>
      <c r="BE72" s="41"/>
      <c r="BF72" s="41"/>
      <c r="BG72" s="41"/>
      <c r="BH72" s="41"/>
    </row>
    <row r="73" spans="55:60" x14ac:dyDescent="0.25">
      <c r="BC73" s="41">
        <f t="shared" si="2"/>
        <v>177100</v>
      </c>
      <c r="BD73" s="41"/>
      <c r="BE73" s="41"/>
      <c r="BF73" s="41"/>
      <c r="BG73" s="41"/>
      <c r="BH73" s="41"/>
    </row>
    <row r="74" spans="55:60" x14ac:dyDescent="0.25">
      <c r="BC74" s="41">
        <f t="shared" si="2"/>
        <v>182400</v>
      </c>
      <c r="BD74" s="41"/>
      <c r="BE74" s="41"/>
      <c r="BF74" s="41"/>
      <c r="BG74" s="41"/>
      <c r="BH74" s="41"/>
    </row>
  </sheetData>
  <sheetProtection algorithmName="SHA-512" hashValue="Z/NQ+9XYb++mNWfPBNcAKcAxTpbzycshV9OeMCzh6oenUpz0/YPJn5guZH5IqOMkNE3bXLScVGdlbgCPFMCxkw==" saltValue="9e0aaDAcnoS5DMtmmFEyFQ==" spinCount="100000" sheet="1" objects="1" scenarios="1" selectLockedCells="1"/>
  <mergeCells count="40">
    <mergeCell ref="BE23:BI32"/>
    <mergeCell ref="AK6:AZ6"/>
    <mergeCell ref="C3:T3"/>
    <mergeCell ref="V3:BA3"/>
    <mergeCell ref="BD8:BJ9"/>
    <mergeCell ref="BD2:BJ7"/>
    <mergeCell ref="C6:J6"/>
    <mergeCell ref="L8:AB8"/>
    <mergeCell ref="L6:AB6"/>
    <mergeCell ref="C8:J8"/>
    <mergeCell ref="AD6:AI6"/>
    <mergeCell ref="C21:AD22"/>
    <mergeCell ref="AF21:AF22"/>
    <mergeCell ref="AG21:AL22"/>
    <mergeCell ref="BD10:BJ11"/>
    <mergeCell ref="BD12:BJ13"/>
    <mergeCell ref="BE17:BI22"/>
    <mergeCell ref="BE14:BI15"/>
    <mergeCell ref="C31:F31"/>
    <mergeCell ref="H31:S31"/>
    <mergeCell ref="C27:AE27"/>
    <mergeCell ref="AG27:AW27"/>
    <mergeCell ref="C24:AD25"/>
    <mergeCell ref="AF24:AF25"/>
    <mergeCell ref="AG24:AL25"/>
    <mergeCell ref="C29:F29"/>
    <mergeCell ref="H29:W29"/>
    <mergeCell ref="C15:AD16"/>
    <mergeCell ref="AF15:AF16"/>
    <mergeCell ref="AG15:AL16"/>
    <mergeCell ref="C18:AD19"/>
    <mergeCell ref="AF18:AF19"/>
    <mergeCell ref="AG18:AL19"/>
    <mergeCell ref="AN10:AZ10"/>
    <mergeCell ref="C12:AD13"/>
    <mergeCell ref="AF12:AF13"/>
    <mergeCell ref="AG12:AL13"/>
    <mergeCell ref="C10:J10"/>
    <mergeCell ref="L10:AB10"/>
    <mergeCell ref="AD10:AL10"/>
  </mergeCells>
  <dataValidations count="13">
    <dataValidation type="list" allowBlank="1" showInputMessage="1" showErrorMessage="1" errorTitle="Pension Scheme" error="Please select your Pension Scheme." promptTitle="Pension Scheme" prompt="Please select your Pension Scheme." sqref="AN12:AZ12 AN10:AZ10" xr:uid="{B9267D3B-1D7D-4F71-A1A3-3EA9467133BE}">
      <formula1>"Statutory, NPS"</formula1>
    </dataValidation>
    <dataValidation allowBlank="1" showInputMessage="1" showErrorMessage="1" promptTitle="Name" prompt="Please enter your Name" sqref="L6:AB6" xr:uid="{F8B7B440-951F-42FA-B353-CEA9805F3838}"/>
    <dataValidation allowBlank="1" showInputMessage="1" showErrorMessage="1" promptTitle="PAN No" prompt="Please enter your PAN No." sqref="AK6:AZ6" xr:uid="{365C4F57-51B2-40D1-978B-5050ECA2505B}"/>
    <dataValidation allowBlank="1" showInputMessage="1" showErrorMessage="1" promptTitle="Father's Name" prompt="Please enter your Father's Name." sqref="L8:AB8" xr:uid="{F891FF11-65B9-4C3C-9B3C-29B35AB2DEA3}"/>
    <dataValidation type="list" allowBlank="1" showInputMessage="1" showErrorMessage="1" sqref="AG12:AL16 AG21:AL22 AG18:AL19 AG24:AL25" xr:uid="{87466B84-DE06-447B-B8E1-0080D029792D}">
      <formula1>"No,Yes"</formula1>
    </dataValidation>
    <dataValidation allowBlank="1" showInputMessage="1" showErrorMessage="1" promptTitle="Name" prompt="Please Enter the Name of your College" sqref="M3:U3" xr:uid="{ADD0BE58-AE36-4528-9632-1F62666FB25B}"/>
    <dataValidation type="whole" operator="greaterThanOrEqual" allowBlank="1" showInputMessage="1" showErrorMessage="1" errorTitle="GIS" error="Please enter a valid amount." promptTitle="GIS" prompt="Please enter the monthly deduction amount for GIS." sqref="AM20:AN20" xr:uid="{6CE64B4B-A1ED-4D82-B03D-B95551FEEEDB}">
      <formula1>0</formula1>
    </dataValidation>
    <dataValidation type="whole" operator="greaterThanOrEqual" allowBlank="1" showInputMessage="1" showErrorMessage="1" errorTitle="PF" promptTitle="PF" prompt="Please enter the monthly deduction amount for PF." sqref="AT20:AX20" xr:uid="{AB0F5632-4DA0-46E8-918C-0D2316C54E7C}">
      <formula1>0</formula1>
    </dataValidation>
    <dataValidation allowBlank="1" showInputMessage="1" showErrorMessage="1" promptTitle="Designation" prompt="Please enter your Designation." sqref="L10:AB10" xr:uid="{4B144044-F121-44D1-B0F7-177A5BC2C828}"/>
    <dataValidation allowBlank="1" showInputMessage="1" showErrorMessage="1" promptTitle=" Place" prompt="Please enter your Place." sqref="H29:W29" xr:uid="{F4DEA2D1-EB1E-452C-BD70-C31B93480FDE}"/>
    <dataValidation allowBlank="1" showInputMessage="1" showErrorMessage="1" promptTitle="Date" prompt="Please enter the Date in DD/MM/YYYY format." sqref="H31:S31" xr:uid="{BEB1C6AF-AEE5-4522-AE8C-673AC6AA9B62}"/>
    <dataValidation allowBlank="1" showInputMessage="1" showErrorMessage="1" promptTitle="Official Designation of the Head" prompt="Please enter the Official Designation of the Head of Your Organization/ Office." sqref="AG27:AW27" xr:uid="{4560141A-3C22-4D0D-AAB4-BDF6A5070488}"/>
    <dataValidation allowBlank="1" showInputMessage="1" showErrorMessage="1" promptTitle="Name of Your Organization/Office" prompt="Please enter the Name of Your Organization/Office." sqref="V3:BA3" xr:uid="{240CF471-250D-4407-9752-38FFDD0A4FAA}"/>
  </dataValidations>
  <pageMargins left="0.39370078740157483" right="0" top="0.31496062992125984" bottom="0.31496062992125984"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Y209"/>
  <sheetViews>
    <sheetView showGridLines="0" showRowColHeaders="0" zoomScaleNormal="100" workbookViewId="0">
      <selection activeCell="K12" sqref="K12:P12"/>
    </sheetView>
  </sheetViews>
  <sheetFormatPr defaultColWidth="9.109375" defaultRowHeight="13.8" x14ac:dyDescent="0.25"/>
  <cols>
    <col min="1" max="1" width="9.109375" style="12"/>
    <col min="2" max="7" width="1.44140625" style="12" customWidth="1"/>
    <col min="8" max="16" width="1.6640625" style="12" customWidth="1"/>
    <col min="17" max="22" width="1.5546875" style="12" customWidth="1"/>
    <col min="23" max="28" width="1.6640625" style="12" customWidth="1"/>
    <col min="29" max="33" width="1.5546875" style="12" customWidth="1"/>
    <col min="34" max="46" width="1.6640625" style="12" customWidth="1"/>
    <col min="47" max="63" width="1.5546875" style="12" customWidth="1"/>
    <col min="64" max="66" width="1.6640625" style="12" customWidth="1"/>
    <col min="67" max="67" width="1.5546875" style="12" customWidth="1"/>
    <col min="68" max="68" width="10.77734375" style="12" bestFit="1" customWidth="1"/>
    <col min="69" max="16384" width="9.109375" style="12"/>
  </cols>
  <sheetData>
    <row r="1" spans="2:74" ht="18.600000000000001" customHeight="1" x14ac:dyDescent="0.25">
      <c r="B1" s="177" t="str">
        <f>IF(ISBLANK('Basic Information'!V3),"",UPPER('Basic Information'!V3))</f>
        <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c r="AX1" s="178"/>
      <c r="AY1" s="178"/>
      <c r="AZ1" s="178"/>
      <c r="BA1" s="178"/>
      <c r="BB1" s="178"/>
      <c r="BC1" s="178"/>
      <c r="BD1" s="178"/>
      <c r="BE1" s="178"/>
      <c r="BF1" s="179"/>
      <c r="BG1" s="179"/>
      <c r="BH1" s="179"/>
      <c r="BI1" s="179"/>
      <c r="BJ1" s="180"/>
    </row>
    <row r="2" spans="2:74" ht="18.600000000000001" customHeight="1" x14ac:dyDescent="0.25">
      <c r="B2" s="181" t="s">
        <v>239</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83"/>
      <c r="BG2" s="183"/>
      <c r="BH2" s="183"/>
      <c r="BI2" s="183"/>
      <c r="BJ2" s="184"/>
      <c r="BQ2" s="289" t="s">
        <v>158</v>
      </c>
      <c r="BR2" s="290"/>
      <c r="BS2" s="290"/>
      <c r="BT2" s="290"/>
      <c r="BU2" s="290"/>
    </row>
    <row r="3" spans="2:74" ht="18.600000000000001" customHeight="1" x14ac:dyDescent="0.25">
      <c r="B3" s="185" t="s">
        <v>161</v>
      </c>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3"/>
      <c r="BG3" s="183"/>
      <c r="BH3" s="183"/>
      <c r="BI3" s="183"/>
      <c r="BJ3" s="184"/>
      <c r="BQ3" s="290"/>
      <c r="BR3" s="290"/>
      <c r="BS3" s="290"/>
      <c r="BT3" s="290"/>
      <c r="BU3" s="290"/>
    </row>
    <row r="4" spans="2:74" ht="3.9" customHeight="1" x14ac:dyDescent="0.35">
      <c r="B4" s="20"/>
      <c r="BJ4" s="26"/>
      <c r="BQ4" s="162" t="s">
        <v>20</v>
      </c>
      <c r="BR4" s="302"/>
      <c r="BS4" s="302"/>
      <c r="BT4" s="302"/>
      <c r="BU4" s="302"/>
      <c r="BV4" s="46"/>
    </row>
    <row r="5" spans="2:74" ht="15.6" x14ac:dyDescent="0.35">
      <c r="B5" s="267" t="s">
        <v>13</v>
      </c>
      <c r="C5" s="109"/>
      <c r="D5" s="109"/>
      <c r="E5" s="109"/>
      <c r="F5" s="109"/>
      <c r="G5" s="109"/>
      <c r="H5" s="109"/>
      <c r="I5" s="109"/>
      <c r="J5" s="109"/>
      <c r="K5" s="27" t="s">
        <v>5</v>
      </c>
      <c r="L5" s="264" t="str">
        <f>IF(ISBLANK('Basic Information'!L6)," ",PROPER('Basic Information'!L6))</f>
        <v xml:space="preserve"> </v>
      </c>
      <c r="M5" s="270"/>
      <c r="N5" s="270"/>
      <c r="O5" s="270"/>
      <c r="P5" s="270"/>
      <c r="Q5" s="270"/>
      <c r="R5" s="270"/>
      <c r="S5" s="270"/>
      <c r="T5" s="270"/>
      <c r="U5" s="270"/>
      <c r="V5" s="270"/>
      <c r="W5" s="270"/>
      <c r="X5" s="270"/>
      <c r="Y5" s="270"/>
      <c r="Z5" s="270"/>
      <c r="AA5" s="270"/>
      <c r="AB5" s="270"/>
      <c r="AC5" s="270"/>
      <c r="AD5" s="270"/>
      <c r="AE5" s="271"/>
      <c r="AF5" s="29"/>
      <c r="AG5" s="109" t="s">
        <v>105</v>
      </c>
      <c r="AH5" s="109"/>
      <c r="AI5" s="109"/>
      <c r="AJ5" s="109"/>
      <c r="AK5" s="109"/>
      <c r="AL5" s="109"/>
      <c r="AM5" s="27" t="s">
        <v>5</v>
      </c>
      <c r="AN5" s="264" t="str">
        <f>IF(ISBLANK('Basic Information'!AK6)," ",UPPER('Basic Information'!AK6))</f>
        <v xml:space="preserve"> </v>
      </c>
      <c r="AO5" s="265"/>
      <c r="AP5" s="265"/>
      <c r="AQ5" s="265"/>
      <c r="AR5" s="265"/>
      <c r="AS5" s="265"/>
      <c r="AT5" s="265"/>
      <c r="AU5" s="265"/>
      <c r="AV5" s="265"/>
      <c r="AW5" s="265"/>
      <c r="AX5" s="265"/>
      <c r="AY5" s="265"/>
      <c r="AZ5" s="265"/>
      <c r="BA5" s="265"/>
      <c r="BB5" s="265"/>
      <c r="BC5" s="265"/>
      <c r="BD5" s="265"/>
      <c r="BE5" s="266"/>
      <c r="BJ5" s="26"/>
      <c r="BQ5" s="302"/>
      <c r="BR5" s="302"/>
      <c r="BS5" s="302"/>
      <c r="BT5" s="302"/>
      <c r="BU5" s="302"/>
      <c r="BV5" s="46"/>
    </row>
    <row r="6" spans="2:74" ht="3.9" customHeight="1" x14ac:dyDescent="0.35">
      <c r="B6" s="20"/>
      <c r="BJ6" s="26"/>
      <c r="BQ6" s="46"/>
      <c r="BR6" s="160" t="s">
        <v>121</v>
      </c>
      <c r="BS6" s="161"/>
      <c r="BT6" s="161"/>
      <c r="BU6" s="161"/>
      <c r="BV6" s="46"/>
    </row>
    <row r="7" spans="2:74" ht="15.6" x14ac:dyDescent="0.35">
      <c r="B7" s="268" t="s">
        <v>15</v>
      </c>
      <c r="C7" s="269"/>
      <c r="D7" s="269"/>
      <c r="E7" s="269"/>
      <c r="F7" s="269"/>
      <c r="G7" s="269"/>
      <c r="H7" s="269"/>
      <c r="I7" s="269"/>
      <c r="J7" s="269"/>
      <c r="K7" s="81" t="s">
        <v>5</v>
      </c>
      <c r="L7" s="264" t="str">
        <f>IF(ISBLANK('Basic Information'!L10)," ",PROPER('Basic Information'!L10))</f>
        <v xml:space="preserve"> </v>
      </c>
      <c r="M7" s="265"/>
      <c r="N7" s="265"/>
      <c r="O7" s="265"/>
      <c r="P7" s="265"/>
      <c r="Q7" s="265"/>
      <c r="R7" s="265"/>
      <c r="S7" s="265"/>
      <c r="T7" s="265"/>
      <c r="U7" s="265"/>
      <c r="V7" s="265"/>
      <c r="W7" s="265"/>
      <c r="X7" s="265"/>
      <c r="Y7" s="265"/>
      <c r="Z7" s="265"/>
      <c r="AA7" s="265"/>
      <c r="AB7" s="265"/>
      <c r="AC7" s="265"/>
      <c r="AD7" s="265"/>
      <c r="AE7" s="266"/>
      <c r="AF7" s="17"/>
      <c r="AG7" s="17"/>
      <c r="AH7" s="33" t="str">
        <f>IF(AND(ISBLANK(L7),ISNUMBER(K12)),"Please select a Designation","")</f>
        <v/>
      </c>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40"/>
      <c r="BP7" s="41">
        <f>IF(ISTEXT(L7),IF(OR(L7="Assistant Professor - Level 10",L7="College Librarian - Level 10"),10,IF(OR(L7="Assistant Professor - Level 11",L7="College Librarian - Level 11"),11,IF(OR(L7="Assistant Professor - Level 12",L7="College Librarian - Level 12"),12,IF(OR(L7="Associate Professor - Level 13A",L7="College Librarian - Level 13A"),13,IF(L7="Professor - Level 14",14,IF(L7="Professor - Level 15",15,IF(L7="Principal",16,0))))))),0)</f>
        <v>0</v>
      </c>
      <c r="BQ7" s="46"/>
      <c r="BR7" s="161"/>
      <c r="BS7" s="161"/>
      <c r="BT7" s="161"/>
      <c r="BU7" s="161"/>
      <c r="BV7" s="46"/>
    </row>
    <row r="8" spans="2:74" ht="5.0999999999999996" customHeight="1" x14ac:dyDescent="0.35">
      <c r="BP8" s="41">
        <f>IF(AND(ISNUMBER('Basic Information'!O16),'Basic Information'!AF17="Yes"),'Basic Information'!O16,0)</f>
        <v>0</v>
      </c>
      <c r="BQ8" s="162" t="s">
        <v>21</v>
      </c>
      <c r="BR8" s="163"/>
      <c r="BS8" s="163"/>
      <c r="BT8" s="163"/>
      <c r="BU8" s="163"/>
      <c r="BV8" s="46"/>
    </row>
    <row r="9" spans="2:74" ht="15" customHeight="1" x14ac:dyDescent="0.35">
      <c r="B9" s="133" t="s">
        <v>229</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42"/>
      <c r="BP9" s="41">
        <f>IF(ISTEXT('Basic Information'!L14),IF('Basic Information'!L14="Class A - Corporation limits",10,IF('Basic Information'!L14="Class B - Municipalities at District Headquarters",8,IF('Basic Information'!L14="Class C - Municipalities",6,IF('Basic Information'!L14="Class D - Panchayaths",4,0)))),0)</f>
        <v>0</v>
      </c>
      <c r="BQ9" s="163"/>
      <c r="BR9" s="163"/>
      <c r="BS9" s="163"/>
      <c r="BT9" s="163"/>
      <c r="BU9" s="163"/>
      <c r="BV9" s="46"/>
    </row>
    <row r="10" spans="2:74" ht="2.4" customHeight="1" x14ac:dyDescent="0.25">
      <c r="B10" s="30"/>
      <c r="C10" s="31"/>
      <c r="D10" s="31"/>
      <c r="E10" s="31"/>
      <c r="F10" s="31"/>
      <c r="G10" s="31"/>
      <c r="H10" s="31"/>
      <c r="I10" s="31"/>
      <c r="J10" s="31"/>
      <c r="K10" s="31"/>
      <c r="L10" s="31"/>
      <c r="M10" s="31"/>
      <c r="N10" s="31"/>
      <c r="O10" s="31"/>
      <c r="P10" s="31"/>
      <c r="Q10" s="31"/>
      <c r="R10" s="31"/>
      <c r="S10" s="31"/>
      <c r="T10" s="31"/>
      <c r="U10" s="32"/>
      <c r="BJ10" s="26"/>
      <c r="BQ10" s="164" t="s">
        <v>120</v>
      </c>
      <c r="BR10" s="165"/>
      <c r="BS10" s="165"/>
      <c r="BT10" s="165"/>
      <c r="BU10" s="165"/>
      <c r="BV10" s="165"/>
    </row>
    <row r="11" spans="2:74" ht="15" customHeight="1" x14ac:dyDescent="0.25">
      <c r="B11" s="272" t="s">
        <v>0</v>
      </c>
      <c r="C11" s="199"/>
      <c r="D11" s="199"/>
      <c r="E11" s="199"/>
      <c r="F11" s="199"/>
      <c r="G11" s="199"/>
      <c r="H11" s="199"/>
      <c r="I11" s="199"/>
      <c r="J11" s="199"/>
      <c r="K11" s="145" t="s">
        <v>1</v>
      </c>
      <c r="L11" s="263"/>
      <c r="M11" s="263"/>
      <c r="N11" s="263"/>
      <c r="O11" s="263"/>
      <c r="P11" s="263"/>
      <c r="Q11" s="145" t="s">
        <v>2</v>
      </c>
      <c r="R11" s="263" t="s">
        <v>2</v>
      </c>
      <c r="S11" s="263"/>
      <c r="T11" s="263"/>
      <c r="U11" s="263"/>
      <c r="V11" s="263"/>
      <c r="W11" s="145" t="s">
        <v>3</v>
      </c>
      <c r="X11" s="263"/>
      <c r="Y11" s="263" t="s">
        <v>3</v>
      </c>
      <c r="Z11" s="263"/>
      <c r="AA11" s="263"/>
      <c r="AB11" s="263"/>
      <c r="AC11" s="145" t="s">
        <v>4</v>
      </c>
      <c r="AD11" s="276"/>
      <c r="AE11" s="276"/>
      <c r="AF11" s="276"/>
      <c r="AG11" s="276"/>
      <c r="AH11" s="276"/>
      <c r="AI11" s="277"/>
      <c r="AJ11" s="145" t="s">
        <v>16</v>
      </c>
      <c r="AK11" s="263"/>
      <c r="AL11" s="263"/>
      <c r="AM11" s="263" t="s">
        <v>16</v>
      </c>
      <c r="AN11" s="263"/>
      <c r="AO11" s="263"/>
      <c r="AP11" s="273" t="s">
        <v>144</v>
      </c>
      <c r="AQ11" s="274"/>
      <c r="AR11" s="274"/>
      <c r="AS11" s="274"/>
      <c r="AT11" s="275"/>
      <c r="AU11" s="145" t="s">
        <v>17</v>
      </c>
      <c r="AV11" s="276"/>
      <c r="AW11" s="276"/>
      <c r="AX11" s="276"/>
      <c r="AY11" s="277" t="s">
        <v>18</v>
      </c>
      <c r="AZ11" s="145" t="s">
        <v>18</v>
      </c>
      <c r="BA11" s="276"/>
      <c r="BB11" s="276"/>
      <c r="BC11" s="276"/>
      <c r="BD11" s="277" t="s">
        <v>82</v>
      </c>
      <c r="BE11" s="145" t="s">
        <v>82</v>
      </c>
      <c r="BF11" s="263"/>
      <c r="BG11" s="263"/>
      <c r="BH11" s="263"/>
      <c r="BI11" s="263"/>
      <c r="BJ11" s="278"/>
      <c r="BQ11" s="165"/>
      <c r="BR11" s="165"/>
      <c r="BS11" s="165"/>
      <c r="BT11" s="165"/>
      <c r="BU11" s="165"/>
      <c r="BV11" s="165"/>
    </row>
    <row r="12" spans="2:74" ht="15" customHeight="1" x14ac:dyDescent="0.25">
      <c r="B12" s="233" t="s">
        <v>28</v>
      </c>
      <c r="C12" s="234"/>
      <c r="D12" s="234"/>
      <c r="E12" s="234"/>
      <c r="F12" s="234"/>
      <c r="G12" s="234"/>
      <c r="H12" s="235">
        <v>2025</v>
      </c>
      <c r="I12" s="235"/>
      <c r="J12" s="236"/>
      <c r="K12" s="237"/>
      <c r="L12" s="240"/>
      <c r="M12" s="240"/>
      <c r="N12" s="240"/>
      <c r="O12" s="240"/>
      <c r="P12" s="241"/>
      <c r="Q12" s="237"/>
      <c r="R12" s="238"/>
      <c r="S12" s="238"/>
      <c r="T12" s="238"/>
      <c r="U12" s="238"/>
      <c r="V12" s="239"/>
      <c r="W12" s="237"/>
      <c r="X12" s="248"/>
      <c r="Y12" s="248"/>
      <c r="Z12" s="248"/>
      <c r="AA12" s="248"/>
      <c r="AB12" s="249"/>
      <c r="AC12" s="279">
        <f>SUM(K12,Q12,W12)</f>
        <v>0</v>
      </c>
      <c r="AD12" s="280"/>
      <c r="AE12" s="280"/>
      <c r="AF12" s="280"/>
      <c r="AG12" s="280"/>
      <c r="AH12" s="280"/>
      <c r="AI12" s="281"/>
      <c r="AJ12" s="237"/>
      <c r="AK12" s="240"/>
      <c r="AL12" s="240"/>
      <c r="AM12" s="240"/>
      <c r="AN12" s="240"/>
      <c r="AO12" s="241"/>
      <c r="AP12" s="237"/>
      <c r="AQ12" s="240"/>
      <c r="AR12" s="240"/>
      <c r="AS12" s="240"/>
      <c r="AT12" s="241"/>
      <c r="AU12" s="237"/>
      <c r="AV12" s="240"/>
      <c r="AW12" s="240"/>
      <c r="AX12" s="240"/>
      <c r="AY12" s="241"/>
      <c r="AZ12" s="237"/>
      <c r="BA12" s="240"/>
      <c r="BB12" s="240"/>
      <c r="BC12" s="240"/>
      <c r="BD12" s="241"/>
      <c r="BE12" s="237"/>
      <c r="BF12" s="240"/>
      <c r="BG12" s="240"/>
      <c r="BH12" s="240"/>
      <c r="BI12" s="240"/>
      <c r="BJ12" s="241"/>
      <c r="BQ12" s="172" t="s">
        <v>36</v>
      </c>
      <c r="BR12" s="173"/>
      <c r="BS12" s="173"/>
      <c r="BT12" s="173"/>
      <c r="BU12" s="173"/>
      <c r="BV12" s="173"/>
    </row>
    <row r="13" spans="2:74" ht="15" customHeight="1" x14ac:dyDescent="0.25">
      <c r="B13" s="233" t="s">
        <v>29</v>
      </c>
      <c r="C13" s="234"/>
      <c r="D13" s="234"/>
      <c r="E13" s="234"/>
      <c r="F13" s="234"/>
      <c r="G13" s="234"/>
      <c r="H13" s="235">
        <v>2025</v>
      </c>
      <c r="I13" s="235"/>
      <c r="J13" s="236"/>
      <c r="K13" s="237"/>
      <c r="L13" s="240"/>
      <c r="M13" s="240"/>
      <c r="N13" s="240"/>
      <c r="O13" s="240"/>
      <c r="P13" s="241"/>
      <c r="Q13" s="237"/>
      <c r="R13" s="238"/>
      <c r="S13" s="238"/>
      <c r="T13" s="238"/>
      <c r="U13" s="238"/>
      <c r="V13" s="239"/>
      <c r="W13" s="237"/>
      <c r="X13" s="248"/>
      <c r="Y13" s="248"/>
      <c r="Z13" s="248"/>
      <c r="AA13" s="248"/>
      <c r="AB13" s="249"/>
      <c r="AC13" s="279">
        <f t="shared" ref="AC13:AC23" si="0">SUM(K13,Q13,W13)</f>
        <v>0</v>
      </c>
      <c r="AD13" s="280"/>
      <c r="AE13" s="280"/>
      <c r="AF13" s="280"/>
      <c r="AG13" s="280"/>
      <c r="AH13" s="280"/>
      <c r="AI13" s="281"/>
      <c r="AJ13" s="237"/>
      <c r="AK13" s="240"/>
      <c r="AL13" s="240"/>
      <c r="AM13" s="240"/>
      <c r="AN13" s="240"/>
      <c r="AO13" s="241"/>
      <c r="AP13" s="237"/>
      <c r="AQ13" s="240"/>
      <c r="AR13" s="240"/>
      <c r="AS13" s="240"/>
      <c r="AT13" s="241"/>
      <c r="AU13" s="237"/>
      <c r="AV13" s="240"/>
      <c r="AW13" s="240"/>
      <c r="AX13" s="240"/>
      <c r="AY13" s="241"/>
      <c r="AZ13" s="237"/>
      <c r="BA13" s="240"/>
      <c r="BB13" s="240"/>
      <c r="BC13" s="240"/>
      <c r="BD13" s="241"/>
      <c r="BE13" s="237"/>
      <c r="BF13" s="240"/>
      <c r="BG13" s="240"/>
      <c r="BH13" s="240"/>
      <c r="BI13" s="240"/>
      <c r="BJ13" s="241"/>
      <c r="BQ13" s="115"/>
      <c r="BR13" s="115"/>
      <c r="BS13" s="115"/>
      <c r="BT13" s="115"/>
      <c r="BU13" s="115"/>
      <c r="BV13" s="115"/>
    </row>
    <row r="14" spans="2:74" ht="15" customHeight="1" x14ac:dyDescent="0.35">
      <c r="B14" s="233" t="s">
        <v>30</v>
      </c>
      <c r="C14" s="234"/>
      <c r="D14" s="234"/>
      <c r="E14" s="234"/>
      <c r="F14" s="234"/>
      <c r="G14" s="234"/>
      <c r="H14" s="235">
        <v>2025</v>
      </c>
      <c r="I14" s="235"/>
      <c r="J14" s="236"/>
      <c r="K14" s="237"/>
      <c r="L14" s="240"/>
      <c r="M14" s="240"/>
      <c r="N14" s="240"/>
      <c r="O14" s="240"/>
      <c r="P14" s="241"/>
      <c r="Q14" s="237"/>
      <c r="R14" s="238"/>
      <c r="S14" s="238"/>
      <c r="T14" s="238"/>
      <c r="U14" s="238"/>
      <c r="V14" s="239"/>
      <c r="W14" s="237"/>
      <c r="X14" s="248"/>
      <c r="Y14" s="248"/>
      <c r="Z14" s="248"/>
      <c r="AA14" s="248"/>
      <c r="AB14" s="249"/>
      <c r="AC14" s="279">
        <f t="shared" si="0"/>
        <v>0</v>
      </c>
      <c r="AD14" s="280"/>
      <c r="AE14" s="280"/>
      <c r="AF14" s="280"/>
      <c r="AG14" s="280"/>
      <c r="AH14" s="280"/>
      <c r="AI14" s="281"/>
      <c r="AJ14" s="237"/>
      <c r="AK14" s="240"/>
      <c r="AL14" s="240"/>
      <c r="AM14" s="240"/>
      <c r="AN14" s="240"/>
      <c r="AO14" s="241"/>
      <c r="AP14" s="237"/>
      <c r="AQ14" s="240"/>
      <c r="AR14" s="240"/>
      <c r="AS14" s="240"/>
      <c r="AT14" s="241"/>
      <c r="AU14" s="237"/>
      <c r="AV14" s="240"/>
      <c r="AW14" s="240"/>
      <c r="AX14" s="240"/>
      <c r="AY14" s="241"/>
      <c r="AZ14" s="237"/>
      <c r="BA14" s="240"/>
      <c r="BB14" s="240"/>
      <c r="BC14" s="240"/>
      <c r="BD14" s="241"/>
      <c r="BE14" s="237"/>
      <c r="BF14" s="240"/>
      <c r="BG14" s="240"/>
      <c r="BH14" s="240"/>
      <c r="BI14" s="240"/>
      <c r="BJ14" s="241"/>
      <c r="BQ14" s="46"/>
      <c r="BR14" s="166" t="s">
        <v>22</v>
      </c>
      <c r="BS14" s="166"/>
      <c r="BT14" s="166"/>
      <c r="BU14" s="166"/>
      <c r="BV14" s="166"/>
    </row>
    <row r="15" spans="2:74" ht="15" customHeight="1" x14ac:dyDescent="0.35">
      <c r="B15" s="233" t="s">
        <v>31</v>
      </c>
      <c r="C15" s="234"/>
      <c r="D15" s="234"/>
      <c r="E15" s="234"/>
      <c r="F15" s="234"/>
      <c r="G15" s="234"/>
      <c r="H15" s="235">
        <v>2025</v>
      </c>
      <c r="I15" s="235"/>
      <c r="J15" s="236"/>
      <c r="K15" s="237"/>
      <c r="L15" s="240"/>
      <c r="M15" s="240"/>
      <c r="N15" s="240"/>
      <c r="O15" s="240"/>
      <c r="P15" s="241"/>
      <c r="Q15" s="237"/>
      <c r="R15" s="238"/>
      <c r="S15" s="238"/>
      <c r="T15" s="238"/>
      <c r="U15" s="238"/>
      <c r="V15" s="239"/>
      <c r="W15" s="237"/>
      <c r="X15" s="248"/>
      <c r="Y15" s="248"/>
      <c r="Z15" s="248"/>
      <c r="AA15" s="248"/>
      <c r="AB15" s="249"/>
      <c r="AC15" s="279">
        <f t="shared" si="0"/>
        <v>0</v>
      </c>
      <c r="AD15" s="280"/>
      <c r="AE15" s="280"/>
      <c r="AF15" s="280"/>
      <c r="AG15" s="280"/>
      <c r="AH15" s="280"/>
      <c r="AI15" s="281"/>
      <c r="AJ15" s="237"/>
      <c r="AK15" s="240"/>
      <c r="AL15" s="240"/>
      <c r="AM15" s="240"/>
      <c r="AN15" s="240"/>
      <c r="AO15" s="241"/>
      <c r="AP15" s="237"/>
      <c r="AQ15" s="240"/>
      <c r="AR15" s="240"/>
      <c r="AS15" s="240"/>
      <c r="AT15" s="241"/>
      <c r="AU15" s="237"/>
      <c r="AV15" s="240"/>
      <c r="AW15" s="240"/>
      <c r="AX15" s="240"/>
      <c r="AY15" s="241"/>
      <c r="AZ15" s="237"/>
      <c r="BA15" s="240"/>
      <c r="BB15" s="240"/>
      <c r="BC15" s="240"/>
      <c r="BD15" s="241"/>
      <c r="BE15" s="237"/>
      <c r="BF15" s="240"/>
      <c r="BG15" s="240"/>
      <c r="BH15" s="240"/>
      <c r="BI15" s="240"/>
      <c r="BJ15" s="241"/>
      <c r="BQ15" s="46"/>
      <c r="BR15" s="167" t="s">
        <v>126</v>
      </c>
      <c r="BS15" s="168"/>
      <c r="BT15" s="168"/>
      <c r="BU15" s="168"/>
      <c r="BV15" s="168"/>
    </row>
    <row r="16" spans="2:74" ht="15" customHeight="1" x14ac:dyDescent="0.35">
      <c r="B16" s="233" t="s">
        <v>32</v>
      </c>
      <c r="C16" s="234"/>
      <c r="D16" s="234"/>
      <c r="E16" s="234"/>
      <c r="F16" s="234"/>
      <c r="G16" s="234"/>
      <c r="H16" s="235">
        <v>2025</v>
      </c>
      <c r="I16" s="235"/>
      <c r="J16" s="236"/>
      <c r="K16" s="237"/>
      <c r="L16" s="240"/>
      <c r="M16" s="240"/>
      <c r="N16" s="240"/>
      <c r="O16" s="240"/>
      <c r="P16" s="241"/>
      <c r="Q16" s="237"/>
      <c r="R16" s="238"/>
      <c r="S16" s="238"/>
      <c r="T16" s="238"/>
      <c r="U16" s="238"/>
      <c r="V16" s="239"/>
      <c r="W16" s="237"/>
      <c r="X16" s="248"/>
      <c r="Y16" s="248"/>
      <c r="Z16" s="248"/>
      <c r="AA16" s="248"/>
      <c r="AB16" s="249"/>
      <c r="AC16" s="279">
        <f t="shared" si="0"/>
        <v>0</v>
      </c>
      <c r="AD16" s="280"/>
      <c r="AE16" s="280"/>
      <c r="AF16" s="280"/>
      <c r="AG16" s="280"/>
      <c r="AH16" s="280"/>
      <c r="AI16" s="281"/>
      <c r="AJ16" s="237"/>
      <c r="AK16" s="240"/>
      <c r="AL16" s="240"/>
      <c r="AM16" s="240"/>
      <c r="AN16" s="240"/>
      <c r="AO16" s="241"/>
      <c r="AP16" s="237"/>
      <c r="AQ16" s="240"/>
      <c r="AR16" s="240"/>
      <c r="AS16" s="240"/>
      <c r="AT16" s="241"/>
      <c r="AU16" s="237"/>
      <c r="AV16" s="240"/>
      <c r="AW16" s="240"/>
      <c r="AX16" s="240"/>
      <c r="AY16" s="241"/>
      <c r="AZ16" s="237"/>
      <c r="BA16" s="240"/>
      <c r="BB16" s="240"/>
      <c r="BC16" s="240"/>
      <c r="BD16" s="241"/>
      <c r="BE16" s="237"/>
      <c r="BF16" s="240"/>
      <c r="BG16" s="240"/>
      <c r="BH16" s="240"/>
      <c r="BI16" s="240"/>
      <c r="BJ16" s="241"/>
      <c r="BP16" s="41"/>
      <c r="BQ16" s="47"/>
      <c r="BR16" s="169" t="s">
        <v>37</v>
      </c>
      <c r="BS16" s="169"/>
      <c r="BT16" s="169"/>
      <c r="BU16" s="169"/>
      <c r="BV16" s="169"/>
    </row>
    <row r="17" spans="2:74" ht="15" customHeight="1" x14ac:dyDescent="0.35">
      <c r="B17" s="233" t="s">
        <v>33</v>
      </c>
      <c r="C17" s="234"/>
      <c r="D17" s="234"/>
      <c r="E17" s="234"/>
      <c r="F17" s="234"/>
      <c r="G17" s="234"/>
      <c r="H17" s="235">
        <v>2025</v>
      </c>
      <c r="I17" s="235"/>
      <c r="J17" s="236"/>
      <c r="K17" s="237"/>
      <c r="L17" s="240"/>
      <c r="M17" s="240"/>
      <c r="N17" s="240"/>
      <c r="O17" s="240"/>
      <c r="P17" s="241"/>
      <c r="Q17" s="237"/>
      <c r="R17" s="238"/>
      <c r="S17" s="238"/>
      <c r="T17" s="238"/>
      <c r="U17" s="238"/>
      <c r="V17" s="239"/>
      <c r="W17" s="237"/>
      <c r="X17" s="248"/>
      <c r="Y17" s="248"/>
      <c r="Z17" s="248"/>
      <c r="AA17" s="248"/>
      <c r="AB17" s="249"/>
      <c r="AC17" s="279">
        <f t="shared" si="0"/>
        <v>0</v>
      </c>
      <c r="AD17" s="280"/>
      <c r="AE17" s="280"/>
      <c r="AF17" s="280"/>
      <c r="AG17" s="280"/>
      <c r="AH17" s="280"/>
      <c r="AI17" s="281"/>
      <c r="AJ17" s="237"/>
      <c r="AK17" s="240"/>
      <c r="AL17" s="240"/>
      <c r="AM17" s="240"/>
      <c r="AN17" s="240"/>
      <c r="AO17" s="241"/>
      <c r="AP17" s="237"/>
      <c r="AQ17" s="240"/>
      <c r="AR17" s="240"/>
      <c r="AS17" s="240"/>
      <c r="AT17" s="241"/>
      <c r="AU17" s="237"/>
      <c r="AV17" s="240"/>
      <c r="AW17" s="240"/>
      <c r="AX17" s="240"/>
      <c r="AY17" s="241"/>
      <c r="AZ17" s="237"/>
      <c r="BA17" s="240"/>
      <c r="BB17" s="240"/>
      <c r="BC17" s="240"/>
      <c r="BD17" s="241"/>
      <c r="BE17" s="237"/>
      <c r="BF17" s="240"/>
      <c r="BG17" s="240"/>
      <c r="BH17" s="240"/>
      <c r="BI17" s="240"/>
      <c r="BJ17" s="241"/>
      <c r="BQ17" s="47"/>
      <c r="BR17" s="71"/>
      <c r="BS17" s="71"/>
      <c r="BT17" s="71"/>
      <c r="BU17" s="71"/>
      <c r="BV17" s="46"/>
    </row>
    <row r="18" spans="2:74" ht="15" customHeight="1" x14ac:dyDescent="0.25">
      <c r="B18" s="233" t="s">
        <v>24</v>
      </c>
      <c r="C18" s="234"/>
      <c r="D18" s="234"/>
      <c r="E18" s="234"/>
      <c r="F18" s="234"/>
      <c r="G18" s="234"/>
      <c r="H18" s="235">
        <v>2025</v>
      </c>
      <c r="I18" s="235"/>
      <c r="J18" s="236"/>
      <c r="K18" s="237"/>
      <c r="L18" s="240"/>
      <c r="M18" s="240"/>
      <c r="N18" s="240"/>
      <c r="O18" s="240"/>
      <c r="P18" s="241"/>
      <c r="Q18" s="237"/>
      <c r="R18" s="238"/>
      <c r="S18" s="238"/>
      <c r="T18" s="238"/>
      <c r="U18" s="238"/>
      <c r="V18" s="239"/>
      <c r="W18" s="237"/>
      <c r="X18" s="248"/>
      <c r="Y18" s="248"/>
      <c r="Z18" s="248"/>
      <c r="AA18" s="248"/>
      <c r="AB18" s="249"/>
      <c r="AC18" s="279">
        <f t="shared" si="0"/>
        <v>0</v>
      </c>
      <c r="AD18" s="280"/>
      <c r="AE18" s="280"/>
      <c r="AF18" s="280"/>
      <c r="AG18" s="280"/>
      <c r="AH18" s="280"/>
      <c r="AI18" s="281"/>
      <c r="AJ18" s="237"/>
      <c r="AK18" s="240"/>
      <c r="AL18" s="240"/>
      <c r="AM18" s="240"/>
      <c r="AN18" s="240"/>
      <c r="AO18" s="241"/>
      <c r="AP18" s="237"/>
      <c r="AQ18" s="240"/>
      <c r="AR18" s="240"/>
      <c r="AS18" s="240"/>
      <c r="AT18" s="241"/>
      <c r="AU18" s="237"/>
      <c r="AV18" s="240"/>
      <c r="AW18" s="240"/>
      <c r="AX18" s="240"/>
      <c r="AY18" s="241"/>
      <c r="AZ18" s="237"/>
      <c r="BA18" s="240"/>
      <c r="BB18" s="240"/>
      <c r="BC18" s="240"/>
      <c r="BD18" s="241"/>
      <c r="BE18" s="237"/>
      <c r="BF18" s="240"/>
      <c r="BG18" s="240"/>
      <c r="BH18" s="240"/>
      <c r="BI18" s="240"/>
      <c r="BJ18" s="241"/>
      <c r="BQ18" s="170" t="s">
        <v>133</v>
      </c>
      <c r="BR18" s="171"/>
      <c r="BS18" s="171"/>
      <c r="BT18" s="171"/>
      <c r="BU18" s="171"/>
      <c r="BV18" s="171"/>
    </row>
    <row r="19" spans="2:74" ht="15" customHeight="1" x14ac:dyDescent="0.25">
      <c r="B19" s="233" t="s">
        <v>34</v>
      </c>
      <c r="C19" s="234"/>
      <c r="D19" s="234"/>
      <c r="E19" s="234"/>
      <c r="F19" s="234"/>
      <c r="G19" s="234"/>
      <c r="H19" s="235">
        <v>2025</v>
      </c>
      <c r="I19" s="235"/>
      <c r="J19" s="236"/>
      <c r="K19" s="237"/>
      <c r="L19" s="240"/>
      <c r="M19" s="240"/>
      <c r="N19" s="240"/>
      <c r="O19" s="240"/>
      <c r="P19" s="241"/>
      <c r="Q19" s="237"/>
      <c r="R19" s="238"/>
      <c r="S19" s="238"/>
      <c r="T19" s="238"/>
      <c r="U19" s="238"/>
      <c r="V19" s="239"/>
      <c r="W19" s="237"/>
      <c r="X19" s="248"/>
      <c r="Y19" s="248"/>
      <c r="Z19" s="248"/>
      <c r="AA19" s="248"/>
      <c r="AB19" s="249"/>
      <c r="AC19" s="279">
        <f t="shared" si="0"/>
        <v>0</v>
      </c>
      <c r="AD19" s="280"/>
      <c r="AE19" s="280"/>
      <c r="AF19" s="280"/>
      <c r="AG19" s="280"/>
      <c r="AH19" s="280"/>
      <c r="AI19" s="281"/>
      <c r="AJ19" s="237"/>
      <c r="AK19" s="240"/>
      <c r="AL19" s="240"/>
      <c r="AM19" s="240"/>
      <c r="AN19" s="240"/>
      <c r="AO19" s="241"/>
      <c r="AP19" s="237"/>
      <c r="AQ19" s="240"/>
      <c r="AR19" s="240"/>
      <c r="AS19" s="240"/>
      <c r="AT19" s="241"/>
      <c r="AU19" s="237"/>
      <c r="AV19" s="240"/>
      <c r="AW19" s="240"/>
      <c r="AX19" s="240"/>
      <c r="AY19" s="241"/>
      <c r="AZ19" s="237"/>
      <c r="BA19" s="240"/>
      <c r="BB19" s="240"/>
      <c r="BC19" s="240"/>
      <c r="BD19" s="241"/>
      <c r="BE19" s="237"/>
      <c r="BF19" s="240"/>
      <c r="BG19" s="240"/>
      <c r="BH19" s="240"/>
      <c r="BI19" s="240"/>
      <c r="BJ19" s="241"/>
      <c r="BQ19" s="171"/>
      <c r="BR19" s="171"/>
      <c r="BS19" s="171"/>
      <c r="BT19" s="171"/>
      <c r="BU19" s="171"/>
      <c r="BV19" s="171"/>
    </row>
    <row r="20" spans="2:74" ht="15" customHeight="1" x14ac:dyDescent="0.25">
      <c r="B20" s="233" t="s">
        <v>35</v>
      </c>
      <c r="C20" s="234"/>
      <c r="D20" s="234"/>
      <c r="E20" s="234"/>
      <c r="F20" s="234"/>
      <c r="G20" s="234"/>
      <c r="H20" s="235">
        <v>2025</v>
      </c>
      <c r="I20" s="235"/>
      <c r="J20" s="236"/>
      <c r="K20" s="237"/>
      <c r="L20" s="240"/>
      <c r="M20" s="240"/>
      <c r="N20" s="240"/>
      <c r="O20" s="240"/>
      <c r="P20" s="241"/>
      <c r="Q20" s="237"/>
      <c r="R20" s="238"/>
      <c r="S20" s="238"/>
      <c r="T20" s="238"/>
      <c r="U20" s="238"/>
      <c r="V20" s="239"/>
      <c r="W20" s="237"/>
      <c r="X20" s="248"/>
      <c r="Y20" s="248"/>
      <c r="Z20" s="248"/>
      <c r="AA20" s="248"/>
      <c r="AB20" s="249"/>
      <c r="AC20" s="279">
        <f t="shared" si="0"/>
        <v>0</v>
      </c>
      <c r="AD20" s="280"/>
      <c r="AE20" s="280"/>
      <c r="AF20" s="280"/>
      <c r="AG20" s="280"/>
      <c r="AH20" s="280"/>
      <c r="AI20" s="281"/>
      <c r="AJ20" s="237"/>
      <c r="AK20" s="240"/>
      <c r="AL20" s="240"/>
      <c r="AM20" s="240"/>
      <c r="AN20" s="240"/>
      <c r="AO20" s="241"/>
      <c r="AP20" s="237"/>
      <c r="AQ20" s="240"/>
      <c r="AR20" s="240"/>
      <c r="AS20" s="240"/>
      <c r="AT20" s="241"/>
      <c r="AU20" s="237"/>
      <c r="AV20" s="240"/>
      <c r="AW20" s="240"/>
      <c r="AX20" s="240"/>
      <c r="AY20" s="241"/>
      <c r="AZ20" s="237"/>
      <c r="BA20" s="240"/>
      <c r="BB20" s="240"/>
      <c r="BC20" s="240"/>
      <c r="BD20" s="241"/>
      <c r="BE20" s="237"/>
      <c r="BF20" s="240"/>
      <c r="BG20" s="240"/>
      <c r="BH20" s="240"/>
      <c r="BI20" s="240"/>
      <c r="BJ20" s="241"/>
      <c r="BQ20" s="171"/>
      <c r="BR20" s="171"/>
      <c r="BS20" s="171"/>
      <c r="BT20" s="171"/>
      <c r="BU20" s="171"/>
      <c r="BV20" s="171"/>
    </row>
    <row r="21" spans="2:74" ht="15" customHeight="1" x14ac:dyDescent="0.25">
      <c r="B21" s="233" t="s">
        <v>27</v>
      </c>
      <c r="C21" s="234"/>
      <c r="D21" s="234"/>
      <c r="E21" s="234"/>
      <c r="F21" s="234"/>
      <c r="G21" s="234"/>
      <c r="H21" s="235">
        <v>2025</v>
      </c>
      <c r="I21" s="235"/>
      <c r="J21" s="236"/>
      <c r="K21" s="237"/>
      <c r="L21" s="240"/>
      <c r="M21" s="240"/>
      <c r="N21" s="240"/>
      <c r="O21" s="240"/>
      <c r="P21" s="241"/>
      <c r="Q21" s="237"/>
      <c r="R21" s="238"/>
      <c r="S21" s="238"/>
      <c r="T21" s="238"/>
      <c r="U21" s="238"/>
      <c r="V21" s="239"/>
      <c r="W21" s="237"/>
      <c r="X21" s="248"/>
      <c r="Y21" s="248"/>
      <c r="Z21" s="248"/>
      <c r="AA21" s="248"/>
      <c r="AB21" s="249"/>
      <c r="AC21" s="279">
        <f t="shared" si="0"/>
        <v>0</v>
      </c>
      <c r="AD21" s="280"/>
      <c r="AE21" s="280"/>
      <c r="AF21" s="280"/>
      <c r="AG21" s="280"/>
      <c r="AH21" s="280"/>
      <c r="AI21" s="281"/>
      <c r="AJ21" s="237"/>
      <c r="AK21" s="240"/>
      <c r="AL21" s="240"/>
      <c r="AM21" s="240"/>
      <c r="AN21" s="240"/>
      <c r="AO21" s="241"/>
      <c r="AP21" s="237"/>
      <c r="AQ21" s="240"/>
      <c r="AR21" s="240"/>
      <c r="AS21" s="240"/>
      <c r="AT21" s="241"/>
      <c r="AU21" s="237"/>
      <c r="AV21" s="240"/>
      <c r="AW21" s="240"/>
      <c r="AX21" s="240"/>
      <c r="AY21" s="241"/>
      <c r="AZ21" s="237"/>
      <c r="BA21" s="240"/>
      <c r="BB21" s="240"/>
      <c r="BC21" s="240"/>
      <c r="BD21" s="241"/>
      <c r="BE21" s="237"/>
      <c r="BF21" s="240"/>
      <c r="BG21" s="240"/>
      <c r="BH21" s="240"/>
      <c r="BI21" s="240"/>
      <c r="BJ21" s="241"/>
      <c r="BQ21" s="115"/>
      <c r="BR21" s="115"/>
      <c r="BS21" s="115"/>
      <c r="BT21" s="115"/>
      <c r="BU21" s="115"/>
      <c r="BV21" s="115"/>
    </row>
    <row r="22" spans="2:74" ht="15" customHeight="1" x14ac:dyDescent="0.35">
      <c r="B22" s="233" t="s">
        <v>26</v>
      </c>
      <c r="C22" s="234"/>
      <c r="D22" s="234"/>
      <c r="E22" s="234"/>
      <c r="F22" s="234"/>
      <c r="G22" s="234"/>
      <c r="H22" s="235">
        <v>2026</v>
      </c>
      <c r="I22" s="235"/>
      <c r="J22" s="236"/>
      <c r="K22" s="237"/>
      <c r="L22" s="240"/>
      <c r="M22" s="240"/>
      <c r="N22" s="240"/>
      <c r="O22" s="240"/>
      <c r="P22" s="241"/>
      <c r="Q22" s="237"/>
      <c r="R22" s="238"/>
      <c r="S22" s="238"/>
      <c r="T22" s="238"/>
      <c r="U22" s="238"/>
      <c r="V22" s="239"/>
      <c r="W22" s="237"/>
      <c r="X22" s="248"/>
      <c r="Y22" s="248"/>
      <c r="Z22" s="248"/>
      <c r="AA22" s="248"/>
      <c r="AB22" s="249"/>
      <c r="AC22" s="279">
        <f t="shared" si="0"/>
        <v>0</v>
      </c>
      <c r="AD22" s="280"/>
      <c r="AE22" s="280"/>
      <c r="AF22" s="280"/>
      <c r="AG22" s="280"/>
      <c r="AH22" s="280"/>
      <c r="AI22" s="281"/>
      <c r="AJ22" s="237"/>
      <c r="AK22" s="240"/>
      <c r="AL22" s="240"/>
      <c r="AM22" s="240"/>
      <c r="AN22" s="240"/>
      <c r="AO22" s="241"/>
      <c r="AP22" s="237"/>
      <c r="AQ22" s="240"/>
      <c r="AR22" s="240"/>
      <c r="AS22" s="240"/>
      <c r="AT22" s="241"/>
      <c r="AU22" s="237"/>
      <c r="AV22" s="240"/>
      <c r="AW22" s="240"/>
      <c r="AX22" s="240"/>
      <c r="AY22" s="241"/>
      <c r="AZ22" s="237"/>
      <c r="BA22" s="240"/>
      <c r="BB22" s="240"/>
      <c r="BC22" s="240"/>
      <c r="BD22" s="241"/>
      <c r="BE22" s="237"/>
      <c r="BF22" s="240"/>
      <c r="BG22" s="240"/>
      <c r="BH22" s="240"/>
      <c r="BI22" s="240"/>
      <c r="BJ22" s="241"/>
      <c r="BR22" s="49"/>
      <c r="BS22" s="49"/>
      <c r="BT22" s="49"/>
    </row>
    <row r="23" spans="2:74" ht="15" customHeight="1" x14ac:dyDescent="0.25">
      <c r="B23" s="233" t="s">
        <v>25</v>
      </c>
      <c r="C23" s="234"/>
      <c r="D23" s="234"/>
      <c r="E23" s="234"/>
      <c r="F23" s="234"/>
      <c r="G23" s="234"/>
      <c r="H23" s="235">
        <v>2026</v>
      </c>
      <c r="I23" s="235"/>
      <c r="J23" s="236"/>
      <c r="K23" s="237"/>
      <c r="L23" s="240"/>
      <c r="M23" s="240"/>
      <c r="N23" s="240"/>
      <c r="O23" s="240"/>
      <c r="P23" s="241"/>
      <c r="Q23" s="237"/>
      <c r="R23" s="238"/>
      <c r="S23" s="238"/>
      <c r="T23" s="238"/>
      <c r="U23" s="238"/>
      <c r="V23" s="239"/>
      <c r="W23" s="237"/>
      <c r="X23" s="248"/>
      <c r="Y23" s="248"/>
      <c r="Z23" s="248"/>
      <c r="AA23" s="248"/>
      <c r="AB23" s="249"/>
      <c r="AC23" s="279">
        <f t="shared" si="0"/>
        <v>0</v>
      </c>
      <c r="AD23" s="280"/>
      <c r="AE23" s="280"/>
      <c r="AF23" s="280"/>
      <c r="AG23" s="280"/>
      <c r="AH23" s="280"/>
      <c r="AI23" s="281"/>
      <c r="AJ23" s="237"/>
      <c r="AK23" s="240"/>
      <c r="AL23" s="240"/>
      <c r="AM23" s="240"/>
      <c r="AN23" s="240"/>
      <c r="AO23" s="241"/>
      <c r="AP23" s="237"/>
      <c r="AQ23" s="240"/>
      <c r="AR23" s="240"/>
      <c r="AS23" s="240"/>
      <c r="AT23" s="241"/>
      <c r="AU23" s="237"/>
      <c r="AV23" s="240"/>
      <c r="AW23" s="240"/>
      <c r="AX23" s="240"/>
      <c r="AY23" s="241"/>
      <c r="AZ23" s="237"/>
      <c r="BA23" s="240"/>
      <c r="BB23" s="240"/>
      <c r="BC23" s="240"/>
      <c r="BD23" s="241"/>
      <c r="BE23" s="237"/>
      <c r="BF23" s="240"/>
      <c r="BG23" s="240"/>
      <c r="BH23" s="240"/>
      <c r="BI23" s="240"/>
      <c r="BJ23" s="241"/>
    </row>
    <row r="24" spans="2:74" ht="18" x14ac:dyDescent="0.25">
      <c r="B24" s="301" t="s">
        <v>4</v>
      </c>
      <c r="C24" s="196"/>
      <c r="D24" s="196"/>
      <c r="E24" s="196"/>
      <c r="F24" s="196"/>
      <c r="G24" s="196"/>
      <c r="H24" s="196"/>
      <c r="I24" s="196"/>
      <c r="J24" s="197"/>
      <c r="K24" s="259">
        <f>SUM(K12:K23)</f>
        <v>0</v>
      </c>
      <c r="L24" s="260"/>
      <c r="M24" s="260"/>
      <c r="N24" s="260"/>
      <c r="O24" s="260"/>
      <c r="P24" s="261"/>
      <c r="Q24" s="259">
        <f>SUM(Q12:Q23)</f>
        <v>0</v>
      </c>
      <c r="R24" s="260"/>
      <c r="S24" s="260"/>
      <c r="T24" s="260"/>
      <c r="U24" s="260"/>
      <c r="V24" s="261"/>
      <c r="W24" s="259">
        <f>SUM(W12:W23)</f>
        <v>0</v>
      </c>
      <c r="X24" s="260"/>
      <c r="Y24" s="260">
        <f>SUM(Y12:Y23)</f>
        <v>0</v>
      </c>
      <c r="Z24" s="260"/>
      <c r="AA24" s="260"/>
      <c r="AB24" s="261"/>
      <c r="AC24" s="279">
        <f>SUM(AC12:AC23)</f>
        <v>0</v>
      </c>
      <c r="AD24" s="280"/>
      <c r="AE24" s="280"/>
      <c r="AF24" s="280"/>
      <c r="AG24" s="280"/>
      <c r="AH24" s="280"/>
      <c r="AI24" s="281"/>
      <c r="AJ24" s="242">
        <f>SUM(AJ12:AJ23)</f>
        <v>0</v>
      </c>
      <c r="AK24" s="243"/>
      <c r="AL24" s="243"/>
      <c r="AM24" s="243"/>
      <c r="AN24" s="243"/>
      <c r="AO24" s="244"/>
      <c r="AP24" s="242">
        <f>SUM(AP12:AP23)</f>
        <v>0</v>
      </c>
      <c r="AQ24" s="243"/>
      <c r="AR24" s="243"/>
      <c r="AS24" s="243"/>
      <c r="AT24" s="244"/>
      <c r="AU24" s="259">
        <f>SUM(AU12:AU23)</f>
        <v>0</v>
      </c>
      <c r="AV24" s="260"/>
      <c r="AW24" s="260"/>
      <c r="AX24" s="260"/>
      <c r="AY24" s="261"/>
      <c r="AZ24" s="259">
        <f>SUM(AZ12:AZ23)</f>
        <v>0</v>
      </c>
      <c r="BA24" s="260"/>
      <c r="BB24" s="260"/>
      <c r="BC24" s="260"/>
      <c r="BD24" s="261"/>
      <c r="BE24" s="259">
        <f>SUM(BE12:BE23)</f>
        <v>0</v>
      </c>
      <c r="BF24" s="260"/>
      <c r="BG24" s="260"/>
      <c r="BH24" s="260"/>
      <c r="BI24" s="260"/>
      <c r="BJ24" s="261"/>
      <c r="BR24" s="48"/>
      <c r="BS24" s="50"/>
      <c r="BT24" s="50"/>
      <c r="BU24" s="51"/>
    </row>
    <row r="25" spans="2:74" ht="3.9" customHeight="1" x14ac:dyDescent="0.25">
      <c r="B25" s="20"/>
      <c r="BJ25" s="26"/>
      <c r="BR25" s="51"/>
      <c r="BS25" s="51"/>
      <c r="BT25" s="51"/>
      <c r="BU25" s="51"/>
    </row>
    <row r="26" spans="2:74" ht="15.9" customHeight="1" x14ac:dyDescent="0.25">
      <c r="B26" s="77"/>
      <c r="C26" s="251" t="s">
        <v>130</v>
      </c>
      <c r="D26" s="252"/>
      <c r="E26" s="252"/>
      <c r="F26" s="252"/>
      <c r="G26" s="252"/>
      <c r="H26" s="252"/>
      <c r="I26" s="252"/>
      <c r="J26" s="252"/>
      <c r="K26" s="252"/>
      <c r="L26" s="252"/>
      <c r="M26" s="252"/>
      <c r="N26" s="252"/>
      <c r="O26" s="252"/>
      <c r="P26" s="252"/>
      <c r="Q26" s="252"/>
      <c r="R26" s="252"/>
      <c r="S26" s="252"/>
      <c r="T26" s="252"/>
      <c r="U26" s="76" t="s">
        <v>5</v>
      </c>
      <c r="V26" s="247"/>
      <c r="W26" s="253"/>
      <c r="X26" s="253"/>
      <c r="Y26" s="253"/>
      <c r="Z26" s="253"/>
      <c r="AA26" s="253"/>
      <c r="AB26" s="253"/>
      <c r="AC26" s="253"/>
      <c r="AD26" s="253"/>
      <c r="AE26" s="253"/>
      <c r="AF26" s="187"/>
      <c r="AG26" s="250"/>
      <c r="AH26" s="251" t="s">
        <v>19</v>
      </c>
      <c r="AI26" s="252"/>
      <c r="AJ26" s="252"/>
      <c r="AK26" s="252"/>
      <c r="AL26" s="252"/>
      <c r="AM26" s="252"/>
      <c r="AN26" s="252"/>
      <c r="AO26" s="252"/>
      <c r="AP26" s="252"/>
      <c r="AQ26" s="252"/>
      <c r="AR26" s="252"/>
      <c r="AS26" s="252"/>
      <c r="AT26" s="252"/>
      <c r="AU26" s="252"/>
      <c r="AV26" s="252"/>
      <c r="AW26" s="252"/>
      <c r="AX26" s="252"/>
      <c r="AY26" s="252"/>
      <c r="AZ26" s="76" t="s">
        <v>5</v>
      </c>
      <c r="BA26" s="247"/>
      <c r="BB26" s="253"/>
      <c r="BC26" s="253"/>
      <c r="BD26" s="253"/>
      <c r="BE26" s="253"/>
      <c r="BF26" s="253"/>
      <c r="BG26" s="253"/>
      <c r="BH26" s="253"/>
      <c r="BI26" s="253"/>
      <c r="BJ26" s="253"/>
    </row>
    <row r="27" spans="2:74" ht="3.9" customHeight="1" x14ac:dyDescent="0.25">
      <c r="B27" s="20"/>
      <c r="BJ27" s="26"/>
      <c r="BR27" s="52"/>
      <c r="BS27" s="29"/>
      <c r="BT27" s="29"/>
      <c r="BU27" s="29"/>
      <c r="BV27" s="29"/>
    </row>
    <row r="28" spans="2:74" ht="15.9" customHeight="1" x14ac:dyDescent="0.25">
      <c r="B28" s="77"/>
      <c r="C28" s="251" t="s">
        <v>129</v>
      </c>
      <c r="D28" s="252"/>
      <c r="E28" s="252"/>
      <c r="F28" s="252"/>
      <c r="G28" s="252"/>
      <c r="H28" s="252"/>
      <c r="I28" s="252"/>
      <c r="J28" s="252"/>
      <c r="K28" s="252"/>
      <c r="L28" s="252"/>
      <c r="M28" s="252"/>
      <c r="N28" s="252"/>
      <c r="O28" s="252"/>
      <c r="P28" s="252"/>
      <c r="Q28" s="252"/>
      <c r="R28" s="252"/>
      <c r="S28" s="252"/>
      <c r="T28" s="252"/>
      <c r="U28" s="76" t="s">
        <v>5</v>
      </c>
      <c r="V28" s="247"/>
      <c r="W28" s="253"/>
      <c r="X28" s="253"/>
      <c r="Y28" s="253"/>
      <c r="Z28" s="253"/>
      <c r="AA28" s="253"/>
      <c r="AB28" s="253"/>
      <c r="AC28" s="253"/>
      <c r="AD28" s="253"/>
      <c r="AE28" s="253"/>
      <c r="AF28" s="187"/>
      <c r="AG28" s="250"/>
      <c r="AH28" s="299" t="str">
        <f>IF('Basic Information'!AN10="NPS","Employer's Contribution to NPS u/s 17.(viii)","")</f>
        <v/>
      </c>
      <c r="AI28" s="300"/>
      <c r="AJ28" s="300"/>
      <c r="AK28" s="300"/>
      <c r="AL28" s="300"/>
      <c r="AM28" s="300"/>
      <c r="AN28" s="300"/>
      <c r="AO28" s="300"/>
      <c r="AP28" s="300"/>
      <c r="AQ28" s="300"/>
      <c r="AR28" s="300"/>
      <c r="AS28" s="300"/>
      <c r="AT28" s="300"/>
      <c r="AU28" s="300"/>
      <c r="AV28" s="300"/>
      <c r="AW28" s="300"/>
      <c r="AX28" s="300"/>
      <c r="AY28" s="300"/>
      <c r="AZ28" s="76" t="str">
        <f>IF('Basic Information'!AN10="NPS",":","")</f>
        <v/>
      </c>
      <c r="BA28" s="200" t="str">
        <f>IF('Basic Information'!AN10="NPS",SUM(ROUND(SUM(K12,Q12)*0.1,0),ROUND(SUM(K13,Q13)*0.1,0),ROUND(SUM(K14,Q14)*0.1,0),ROUND(SUM(K15,Q15)*0.1,0),ROUND(SUM(K16,Q16)*0.1,0),ROUND(SUM(K17,Q17)*0.1,0),ROUND(SUM(K18,Q18)*0.1,0),ROUND(SUM(K19,Q19)*0.1,0),ROUND(SUM(K20,Q20)*0.1,0),ROUND(SUM(K21,Q21)*0.1,0),ROUND(SUM(K22,Q22)*0.1,0),ROUND(SUM(K23,Q23)*0.1,0)),"")</f>
        <v/>
      </c>
      <c r="BB28" s="262"/>
      <c r="BC28" s="262"/>
      <c r="BD28" s="262"/>
      <c r="BE28" s="262"/>
      <c r="BF28" s="262"/>
      <c r="BG28" s="262"/>
      <c r="BH28" s="262"/>
      <c r="BI28" s="262"/>
      <c r="BJ28" s="262"/>
    </row>
    <row r="29" spans="2:74" ht="3.9" customHeight="1" x14ac:dyDescent="0.25">
      <c r="B29" s="20"/>
      <c r="BJ29" s="26"/>
      <c r="BR29" s="52"/>
      <c r="BS29" s="29"/>
      <c r="BT29" s="29"/>
      <c r="BU29" s="29"/>
      <c r="BV29" s="29"/>
    </row>
    <row r="30" spans="2:74" ht="15.9" customHeight="1" x14ac:dyDescent="0.25">
      <c r="B30" s="20"/>
      <c r="C30" s="251" t="s">
        <v>139</v>
      </c>
      <c r="D30" s="252"/>
      <c r="E30" s="252"/>
      <c r="F30" s="252"/>
      <c r="G30" s="252"/>
      <c r="H30" s="252"/>
      <c r="I30" s="252"/>
      <c r="J30" s="252"/>
      <c r="K30" s="252"/>
      <c r="L30" s="252"/>
      <c r="M30" s="252"/>
      <c r="N30" s="252"/>
      <c r="O30" s="252"/>
      <c r="P30" s="252"/>
      <c r="Q30" s="252"/>
      <c r="R30" s="252"/>
      <c r="S30" s="252"/>
      <c r="T30" s="252"/>
      <c r="U30" s="76" t="s">
        <v>5</v>
      </c>
      <c r="V30" s="247"/>
      <c r="W30" s="253"/>
      <c r="X30" s="253"/>
      <c r="Y30" s="253"/>
      <c r="Z30" s="253"/>
      <c r="AA30" s="253"/>
      <c r="AB30" s="253"/>
      <c r="AC30" s="253"/>
      <c r="AD30" s="253"/>
      <c r="AE30" s="253"/>
      <c r="AF30" s="29"/>
      <c r="AG30" s="87"/>
      <c r="AH30" s="245" t="str">
        <f>IF('Basic Information'!AN10="NPS","NPS Arrear - Employer's Contribution to NPS","")</f>
        <v/>
      </c>
      <c r="AI30" s="246"/>
      <c r="AJ30" s="246"/>
      <c r="AK30" s="246"/>
      <c r="AL30" s="246"/>
      <c r="AM30" s="246"/>
      <c r="AN30" s="246"/>
      <c r="AO30" s="246"/>
      <c r="AP30" s="246"/>
      <c r="AQ30" s="246"/>
      <c r="AR30" s="246"/>
      <c r="AS30" s="246"/>
      <c r="AT30" s="246"/>
      <c r="AU30" s="246"/>
      <c r="AV30" s="246"/>
      <c r="AW30" s="246"/>
      <c r="AX30" s="246"/>
      <c r="AY30" s="246"/>
      <c r="AZ30" s="76" t="str">
        <f>IF('Basic Information'!AN10="NPS",":","")</f>
        <v/>
      </c>
      <c r="BA30" s="247"/>
      <c r="BB30" s="253"/>
      <c r="BC30" s="253"/>
      <c r="BD30" s="253"/>
      <c r="BE30" s="253"/>
      <c r="BF30" s="253"/>
      <c r="BG30" s="253"/>
      <c r="BH30" s="253"/>
      <c r="BI30" s="253"/>
      <c r="BJ30" s="253"/>
    </row>
    <row r="31" spans="2:74" ht="3.9" customHeight="1" x14ac:dyDescent="0.25">
      <c r="B31" s="20"/>
      <c r="BJ31" s="26"/>
      <c r="BR31" s="52"/>
      <c r="BS31" s="29"/>
      <c r="BT31" s="29"/>
      <c r="BU31" s="29"/>
      <c r="BV31" s="29"/>
    </row>
    <row r="32" spans="2:74" ht="14.1" customHeight="1" x14ac:dyDescent="0.25">
      <c r="B32" s="135" t="s">
        <v>230</v>
      </c>
      <c r="C32" s="136"/>
      <c r="D32" s="136"/>
      <c r="E32" s="136"/>
      <c r="F32" s="136"/>
      <c r="G32" s="136"/>
      <c r="H32" s="136"/>
      <c r="I32" s="136"/>
      <c r="J32" s="136"/>
      <c r="K32" s="136"/>
      <c r="L32" s="136"/>
      <c r="M32" s="136"/>
      <c r="N32" s="136"/>
      <c r="O32" s="136"/>
      <c r="P32" s="136"/>
      <c r="Q32" s="136"/>
      <c r="R32" s="136"/>
      <c r="S32" s="136"/>
      <c r="T32" s="136"/>
      <c r="U32" s="137"/>
      <c r="V32" s="134"/>
      <c r="W32" s="134"/>
      <c r="X32" s="134"/>
      <c r="Y32" s="134"/>
      <c r="Z32" s="134"/>
      <c r="AA32" s="134"/>
      <c r="AB32" s="134"/>
      <c r="AC32" s="134"/>
      <c r="AD32" s="134"/>
      <c r="AE32" s="134"/>
      <c r="AF32" s="134"/>
      <c r="AG32" s="15"/>
      <c r="AH32" s="15"/>
      <c r="AI32" s="15"/>
      <c r="AJ32" s="35" t="s">
        <v>115</v>
      </c>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42"/>
      <c r="BR32" s="29"/>
      <c r="BS32" s="29"/>
      <c r="BT32" s="29"/>
      <c r="BU32" s="29"/>
      <c r="BV32" s="29"/>
    </row>
    <row r="33" spans="2:75" ht="3.9" customHeight="1" x14ac:dyDescent="0.25">
      <c r="B33" s="20"/>
      <c r="BJ33" s="26"/>
    </row>
    <row r="34" spans="2:75" ht="18" customHeight="1" x14ac:dyDescent="0.25">
      <c r="B34" s="22"/>
      <c r="C34" s="258" t="s">
        <v>83</v>
      </c>
      <c r="D34" s="258"/>
      <c r="E34" s="258"/>
      <c r="F34" s="258"/>
      <c r="G34" s="258"/>
      <c r="H34" s="258"/>
      <c r="I34" s="258"/>
      <c r="J34" s="258"/>
      <c r="K34" s="258"/>
      <c r="L34" s="258"/>
      <c r="M34" s="76" t="s">
        <v>5</v>
      </c>
      <c r="N34" s="230"/>
      <c r="O34" s="231"/>
      <c r="P34" s="231"/>
      <c r="Q34" s="231"/>
      <c r="R34" s="231"/>
      <c r="S34" s="231"/>
      <c r="T34" s="231"/>
      <c r="U34" s="232"/>
      <c r="V34" s="17"/>
      <c r="W34" s="257" t="s">
        <v>140</v>
      </c>
      <c r="X34" s="257"/>
      <c r="Y34" s="257"/>
      <c r="Z34" s="257"/>
      <c r="AA34" s="257"/>
      <c r="AB34" s="257"/>
      <c r="AC34" s="257"/>
      <c r="AD34" s="257"/>
      <c r="AE34" s="257"/>
      <c r="AF34" s="257"/>
      <c r="AG34" s="76" t="s">
        <v>5</v>
      </c>
      <c r="AH34" s="230"/>
      <c r="AI34" s="231"/>
      <c r="AJ34" s="231"/>
      <c r="AK34" s="231"/>
      <c r="AL34" s="231"/>
      <c r="AM34" s="231"/>
      <c r="AN34" s="231"/>
      <c r="AO34" s="232"/>
      <c r="AP34" s="17"/>
      <c r="AQ34" s="257" t="s">
        <v>141</v>
      </c>
      <c r="AR34" s="257"/>
      <c r="AS34" s="257"/>
      <c r="AT34" s="257"/>
      <c r="AU34" s="257"/>
      <c r="AV34" s="257"/>
      <c r="AW34" s="257"/>
      <c r="AX34" s="257"/>
      <c r="AY34" s="257"/>
      <c r="AZ34" s="257"/>
      <c r="BA34" s="201"/>
      <c r="BB34" s="76" t="s">
        <v>5</v>
      </c>
      <c r="BC34" s="230"/>
      <c r="BD34" s="231"/>
      <c r="BE34" s="231"/>
      <c r="BF34" s="231"/>
      <c r="BG34" s="231"/>
      <c r="BH34" s="231"/>
      <c r="BI34" s="231"/>
      <c r="BJ34" s="232"/>
    </row>
    <row r="35" spans="2:75" ht="3.9" customHeight="1" x14ac:dyDescent="0.25">
      <c r="B35" s="20"/>
      <c r="BJ35" s="26"/>
    </row>
    <row r="36" spans="2:75" ht="15" customHeight="1" x14ac:dyDescent="0.25">
      <c r="B36" s="254" t="s">
        <v>231</v>
      </c>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76" t="s">
        <v>5</v>
      </c>
      <c r="AV36" s="200">
        <f>IF('Basic Information'!AN10="NPS",SUM(AC24,V26,BA26,V28,BA28,V30,BA30,N34,AH34,BC34),SUM(AC24,V26,BA26,V28,V30,N34,AH34,BC34))</f>
        <v>0</v>
      </c>
      <c r="AW36" s="200"/>
      <c r="AX36" s="200"/>
      <c r="AY36" s="200"/>
      <c r="AZ36" s="200"/>
      <c r="BA36" s="200"/>
      <c r="BB36" s="200"/>
      <c r="BC36" s="200"/>
      <c r="BD36" s="200"/>
      <c r="BE36" s="200"/>
      <c r="BF36" s="200"/>
      <c r="BG36" s="200"/>
      <c r="BH36" s="200"/>
      <c r="BI36" s="200"/>
      <c r="BJ36" s="200"/>
    </row>
    <row r="37" spans="2:75" ht="3.9" customHeight="1" x14ac:dyDescent="0.25">
      <c r="B37" s="20"/>
      <c r="BJ37" s="26"/>
      <c r="BQ37" s="53"/>
      <c r="BR37" s="53"/>
      <c r="BS37" s="53"/>
      <c r="BT37" s="53"/>
      <c r="BU37" s="53"/>
      <c r="BV37" s="53"/>
    </row>
    <row r="38" spans="2:75" ht="14.1" customHeight="1" x14ac:dyDescent="0.25">
      <c r="B38" s="255" t="s">
        <v>212</v>
      </c>
      <c r="C38" s="136"/>
      <c r="D38" s="136"/>
      <c r="E38" s="136"/>
      <c r="F38" s="136"/>
      <c r="G38" s="136"/>
      <c r="H38" s="136"/>
      <c r="I38" s="136"/>
      <c r="J38" s="136"/>
      <c r="K38" s="136"/>
      <c r="L38" s="136"/>
      <c r="M38" s="136"/>
      <c r="N38" s="136"/>
      <c r="O38" s="136"/>
      <c r="P38" s="136"/>
      <c r="Q38" s="136"/>
      <c r="R38" s="136"/>
      <c r="S38" s="136"/>
      <c r="T38" s="136"/>
      <c r="U38" s="137"/>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256"/>
      <c r="BP38" s="176" t="str">
        <f>IF(AND(AK40&lt;&gt;0,V26=0),"Ensure that Leave Travel Concession is included in salary income.",IF(AND(AK40&lt;&gt;0,AK40&gt;V26),"The deduction for Leave Travel Allowance under Section 11(1) with Schedule-III(8) is limited to the amount included in the salary as per Section 16.",""))</f>
        <v/>
      </c>
      <c r="BQ38" s="176"/>
      <c r="BR38" s="176"/>
      <c r="BS38" s="176"/>
      <c r="BT38" s="176"/>
      <c r="BU38" s="176"/>
      <c r="BV38" s="176"/>
      <c r="BW38" s="176"/>
    </row>
    <row r="39" spans="2:75" ht="3.9" customHeight="1" x14ac:dyDescent="0.25">
      <c r="B39" s="20"/>
      <c r="BJ39" s="26"/>
      <c r="BP39" s="176"/>
      <c r="BQ39" s="176"/>
      <c r="BR39" s="176"/>
      <c r="BS39" s="176"/>
      <c r="BT39" s="176"/>
      <c r="BU39" s="176"/>
      <c r="BV39" s="176"/>
      <c r="BW39" s="176"/>
    </row>
    <row r="40" spans="2:75" ht="14.4" x14ac:dyDescent="0.25">
      <c r="B40" s="20"/>
      <c r="C40" s="294" t="s">
        <v>162</v>
      </c>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6"/>
      <c r="AK40" s="213"/>
      <c r="AL40" s="297"/>
      <c r="AM40" s="297"/>
      <c r="AN40" s="297"/>
      <c r="AO40" s="297"/>
      <c r="AP40" s="297"/>
      <c r="AQ40" s="297"/>
      <c r="AR40" s="297"/>
      <c r="AS40" s="297"/>
      <c r="AT40" s="298"/>
      <c r="AU40" s="76" t="s">
        <v>5</v>
      </c>
      <c r="AV40" s="200">
        <f>IF(AK40&lt;&gt;0,IF(AK40&lt;=V26,AK40,V26),0)</f>
        <v>0</v>
      </c>
      <c r="AW40" s="200"/>
      <c r="AX40" s="200"/>
      <c r="AY40" s="200"/>
      <c r="AZ40" s="200"/>
      <c r="BA40" s="200"/>
      <c r="BB40" s="200"/>
      <c r="BC40" s="200"/>
      <c r="BD40" s="200"/>
      <c r="BE40" s="200"/>
      <c r="BF40" s="200"/>
      <c r="BG40" s="200"/>
      <c r="BH40" s="200"/>
      <c r="BI40" s="200"/>
      <c r="BJ40" s="200"/>
      <c r="BP40" s="176"/>
      <c r="BQ40" s="176"/>
      <c r="BR40" s="176"/>
      <c r="BS40" s="176"/>
      <c r="BT40" s="176"/>
      <c r="BU40" s="176"/>
      <c r="BV40" s="176"/>
      <c r="BW40" s="176"/>
    </row>
    <row r="41" spans="2:75" ht="3.9" customHeight="1" x14ac:dyDescent="0.25">
      <c r="B41" s="20"/>
      <c r="BJ41" s="26"/>
      <c r="BP41" s="176"/>
      <c r="BQ41" s="176"/>
      <c r="BR41" s="176"/>
      <c r="BS41" s="176"/>
      <c r="BT41" s="176"/>
      <c r="BU41" s="176"/>
      <c r="BV41" s="176"/>
      <c r="BW41" s="176"/>
    </row>
    <row r="42" spans="2:75" ht="14.4" x14ac:dyDescent="0.25">
      <c r="B42" s="20"/>
      <c r="C42" s="325" t="s">
        <v>164</v>
      </c>
      <c r="D42" s="326"/>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6"/>
      <c r="AD42" s="326"/>
      <c r="AE42" s="326"/>
      <c r="AF42" s="326"/>
      <c r="AG42" s="326"/>
      <c r="AH42" s="326"/>
      <c r="AI42" s="326"/>
      <c r="AJ42" s="327"/>
      <c r="AK42" s="213"/>
      <c r="AL42" s="297"/>
      <c r="AM42" s="297"/>
      <c r="AN42" s="297"/>
      <c r="AO42" s="297"/>
      <c r="AP42" s="297"/>
      <c r="AQ42" s="297"/>
      <c r="AR42" s="297"/>
      <c r="AS42" s="297"/>
      <c r="AT42" s="298"/>
      <c r="AU42" s="76" t="s">
        <v>5</v>
      </c>
      <c r="AV42" s="200">
        <f>IF(AND(AK42&lt;&gt;0,W24&lt;&gt;0,-AV60=0,AV91=0,AV135=0,AV137=0),MIN(W24,ROUND(0.4*(K24+Q24),0),IF(AK42&gt;ROUND(0.1*(K24+Q24),0),AK42-ROUND(0.1*(K24+Q24),0),0)),0)</f>
        <v>0</v>
      </c>
      <c r="AW42" s="200"/>
      <c r="AX42" s="200"/>
      <c r="AY42" s="200"/>
      <c r="AZ42" s="200"/>
      <c r="BA42" s="200"/>
      <c r="BB42" s="200"/>
      <c r="BC42" s="200"/>
      <c r="BD42" s="200"/>
      <c r="BE42" s="200"/>
      <c r="BF42" s="200"/>
      <c r="BG42" s="200"/>
      <c r="BH42" s="200"/>
      <c r="BI42" s="200"/>
      <c r="BJ42" s="200"/>
      <c r="BP42" s="132" t="str">
        <f>IF(AND(AK42&lt;&gt;0,OR(-AV60&lt;&gt;0,AV91&lt;&gt;0,AV135&lt;&gt;0,AV137&lt;&gt;0)),"You are not eligible for HRA deduction u/s 11(1) with Schedule-III(11), since you have self occupied house property.",IF(AV42&gt;100000,"Please provide the name, address, and Permanent Account Number (PAN) of the landlord(s).",IF(AND(AV42&lt;&gt;0,AV42&lt;=100000),"Please ensure to submit FORM NO. 12BB.",IF(AND(AK42&lt;&gt;0,W24=0),"Since you don't have HRA component in your salary, you are not eligible for HRA deduction u/s 11(1) with Schedule-III(11). ",IF(AND(AK42&lt;&gt;0,AK42&lt;=ROUND(0.1*(K24+Q24),0)),"You are not eligible for HRA deduction u/s 11(1) with Schedule-III(11), since the actual rent paid is 10 per cent or less than 10 per cent of your salary.","")))))</f>
        <v/>
      </c>
      <c r="BQ42" s="132"/>
      <c r="BR42" s="132"/>
      <c r="BS42" s="132"/>
      <c r="BT42" s="132"/>
      <c r="BU42" s="132"/>
      <c r="BV42" s="132"/>
      <c r="BW42" s="132"/>
    </row>
    <row r="43" spans="2:75" ht="3.9" customHeight="1" x14ac:dyDescent="0.25">
      <c r="B43" s="20"/>
      <c r="BJ43" s="26"/>
      <c r="BP43" s="132"/>
      <c r="BQ43" s="132"/>
      <c r="BR43" s="132"/>
      <c r="BS43" s="132"/>
      <c r="BT43" s="132"/>
      <c r="BU43" s="132"/>
      <c r="BV43" s="132"/>
      <c r="BW43" s="132"/>
    </row>
    <row r="44" spans="2:75" x14ac:dyDescent="0.25">
      <c r="B44" s="254" t="s">
        <v>128</v>
      </c>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76" t="s">
        <v>5</v>
      </c>
      <c r="AV44" s="200">
        <f>IF(AV36&gt;SUM(AV40,AV42),AV36-SUM(AV40,AV42),0)</f>
        <v>0</v>
      </c>
      <c r="AW44" s="200"/>
      <c r="AX44" s="200"/>
      <c r="AY44" s="200"/>
      <c r="AZ44" s="200"/>
      <c r="BA44" s="200"/>
      <c r="BB44" s="200"/>
      <c r="BC44" s="200"/>
      <c r="BD44" s="200"/>
      <c r="BE44" s="200"/>
      <c r="BF44" s="200"/>
      <c r="BG44" s="200"/>
      <c r="BH44" s="200"/>
      <c r="BI44" s="200"/>
      <c r="BJ44" s="200"/>
      <c r="BP44" s="132"/>
      <c r="BQ44" s="132"/>
      <c r="BR44" s="132"/>
      <c r="BS44" s="132"/>
      <c r="BT44" s="132"/>
      <c r="BU44" s="132"/>
      <c r="BV44" s="132"/>
      <c r="BW44" s="132"/>
    </row>
    <row r="45" spans="2:75" ht="3.9" customHeight="1" x14ac:dyDescent="0.25">
      <c r="BP45" s="132"/>
      <c r="BQ45" s="132"/>
      <c r="BR45" s="132"/>
      <c r="BS45" s="132"/>
      <c r="BT45" s="132"/>
      <c r="BU45" s="132"/>
      <c r="BV45" s="132"/>
      <c r="BW45" s="132"/>
    </row>
    <row r="46" spans="2:75" x14ac:dyDescent="0.25">
      <c r="B46" s="192" t="s">
        <v>163</v>
      </c>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9"/>
      <c r="AV46" s="19"/>
      <c r="AW46" s="19"/>
      <c r="AX46" s="19"/>
      <c r="AY46" s="19"/>
      <c r="AZ46" s="19"/>
      <c r="BA46" s="19"/>
      <c r="BB46" s="19"/>
      <c r="BC46" s="19"/>
      <c r="BD46" s="19"/>
      <c r="BE46" s="19"/>
      <c r="BF46" s="19"/>
      <c r="BG46" s="19"/>
      <c r="BH46" s="19"/>
      <c r="BI46" s="19"/>
      <c r="BJ46" s="43"/>
    </row>
    <row r="47" spans="2:75" ht="3.9" customHeight="1" x14ac:dyDescent="0.25">
      <c r="B47" s="20"/>
      <c r="BJ47" s="26"/>
    </row>
    <row r="48" spans="2:75" x14ac:dyDescent="0.25">
      <c r="B48" s="54"/>
      <c r="C48" s="201" t="s">
        <v>165</v>
      </c>
      <c r="D48" s="201"/>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76" t="s">
        <v>5</v>
      </c>
      <c r="AV48" s="200">
        <f>IF(AC24&lt;&gt;0,SUM(BQ48,BS48),0)</f>
        <v>0</v>
      </c>
      <c r="AW48" s="200"/>
      <c r="AX48" s="200"/>
      <c r="AY48" s="200"/>
      <c r="AZ48" s="200"/>
      <c r="BA48" s="200"/>
      <c r="BB48" s="200"/>
      <c r="BC48" s="200"/>
      <c r="BD48" s="200"/>
      <c r="BE48" s="200"/>
      <c r="BF48" s="200"/>
      <c r="BG48" s="200"/>
      <c r="BH48" s="200"/>
      <c r="BI48" s="200"/>
      <c r="BJ48" s="200"/>
      <c r="BP48" s="41">
        <f>SUM(AC12,AC13,AC14,AC15,AC16,AC17)</f>
        <v>0</v>
      </c>
      <c r="BQ48" s="41">
        <f>IF(BP48&lt;12000,0,IF(AND(BP48&gt;=12000,BP48&lt;18000),320,IF(AND(BP48&gt;=18000,BP48&lt;30000),450,IF(AND(BP48&gt;=30000,BP48&lt;45000),600,IF(AND(BP48&gt;=45000,BP48&lt;100000),750,IF(AND(BP48&gt;=100000,BP48&lt;125000),1000,1250))))))</f>
        <v>0</v>
      </c>
      <c r="BR48" s="41">
        <f>SUM(AC18,AC19,AC20,AC21,AC22,AC23)</f>
        <v>0</v>
      </c>
      <c r="BS48" s="41">
        <f>IF(BR48&lt;12000,0,IF(AND(BR48&gt;=12000,BR48&lt;18000),320,IF(AND(BR48&gt;=18000,BR48&lt;30000),450,IF(AND(BR48&gt;=30000,BR48&lt;45000),600,IF(AND(BR48&gt;=45000,BR48&lt;100000),750,IF(AND(BR48&gt;=100000,BR48&lt;125000),1000,1250))))))</f>
        <v>0</v>
      </c>
    </row>
    <row r="49" spans="2:76" ht="3.9" customHeight="1" x14ac:dyDescent="0.25">
      <c r="B49" s="20"/>
      <c r="BJ49" s="26"/>
    </row>
    <row r="50" spans="2:76" x14ac:dyDescent="0.25">
      <c r="B50" s="55"/>
      <c r="C50" s="222" t="s">
        <v>166</v>
      </c>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76" t="s">
        <v>5</v>
      </c>
      <c r="AV50" s="193">
        <f>IF(AV44&lt;50000,AV44,50000)</f>
        <v>0</v>
      </c>
      <c r="AW50" s="194"/>
      <c r="AX50" s="194"/>
      <c r="AY50" s="194"/>
      <c r="AZ50" s="194"/>
      <c r="BA50" s="194"/>
      <c r="BB50" s="194"/>
      <c r="BC50" s="194"/>
      <c r="BD50" s="194"/>
      <c r="BE50" s="194"/>
      <c r="BF50" s="194"/>
      <c r="BG50" s="194"/>
      <c r="BH50" s="194"/>
      <c r="BI50" s="194"/>
      <c r="BJ50" s="195"/>
      <c r="BP50" s="41"/>
      <c r="BQ50" s="41"/>
      <c r="BR50" s="41"/>
      <c r="BS50" s="41"/>
    </row>
    <row r="51" spans="2:76" ht="3.9" customHeight="1" x14ac:dyDescent="0.25">
      <c r="B51" s="20"/>
      <c r="BJ51" s="26"/>
    </row>
    <row r="52" spans="2:76" x14ac:dyDescent="0.25">
      <c r="B52" s="254" t="s">
        <v>167</v>
      </c>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76" t="s">
        <v>5</v>
      </c>
      <c r="AV52" s="200">
        <f>AV44-SUM(AV48,AV50)</f>
        <v>0</v>
      </c>
      <c r="AW52" s="200"/>
      <c r="AX52" s="200"/>
      <c r="AY52" s="200"/>
      <c r="AZ52" s="200"/>
      <c r="BA52" s="200"/>
      <c r="BB52" s="200"/>
      <c r="BC52" s="200"/>
      <c r="BD52" s="200"/>
      <c r="BE52" s="200"/>
      <c r="BF52" s="200"/>
      <c r="BG52" s="200"/>
      <c r="BH52" s="200"/>
      <c r="BI52" s="200"/>
      <c r="BJ52" s="200"/>
    </row>
    <row r="53" spans="2:76" ht="3.9" customHeight="1" x14ac:dyDescent="0.25"/>
    <row r="54" spans="2:76" x14ac:dyDescent="0.25">
      <c r="B54" s="133" t="s">
        <v>168</v>
      </c>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208"/>
      <c r="AU54" s="15"/>
      <c r="AV54" s="15"/>
      <c r="AW54" s="15"/>
      <c r="AX54" s="15"/>
      <c r="AY54" s="15"/>
      <c r="AZ54" s="15"/>
      <c r="BA54" s="15"/>
      <c r="BB54" s="15"/>
      <c r="BC54" s="15"/>
      <c r="BD54" s="15"/>
      <c r="BE54" s="15"/>
      <c r="BF54" s="15"/>
      <c r="BG54" s="15"/>
      <c r="BH54" s="15"/>
      <c r="BI54" s="15"/>
      <c r="BJ54" s="42"/>
    </row>
    <row r="55" spans="2:76" ht="3.9" customHeight="1" x14ac:dyDescent="0.25">
      <c r="B55" s="20"/>
      <c r="BJ55" s="26"/>
    </row>
    <row r="56" spans="2:76" ht="26.1" customHeight="1" x14ac:dyDescent="0.25">
      <c r="B56" s="20"/>
      <c r="C56" s="285" t="s">
        <v>237</v>
      </c>
      <c r="D56" s="286"/>
      <c r="E56" s="286"/>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7"/>
      <c r="AK56" s="287"/>
      <c r="AL56" s="287"/>
      <c r="AM56" s="287"/>
      <c r="AN56" s="288"/>
      <c r="AO56" s="288"/>
      <c r="AP56" s="288"/>
      <c r="AQ56" s="288"/>
      <c r="AR56" s="216"/>
      <c r="AS56" s="282" t="s">
        <v>43</v>
      </c>
      <c r="AT56" s="283"/>
      <c r="AU56" s="283"/>
      <c r="AV56" s="283"/>
      <c r="AW56" s="283"/>
      <c r="AX56" s="283"/>
      <c r="AY56" s="284"/>
      <c r="BJ56" s="26"/>
      <c r="BL56" s="75" t="str">
        <f>IF(AND(NOT(ISBLANK(AV58)), OR(ISBLANK(AS56),AS56="SELECT")),"Please answer the question related to House Property.","")</f>
        <v/>
      </c>
    </row>
    <row r="57" spans="2:76" ht="3.9" customHeight="1" x14ac:dyDescent="0.25">
      <c r="B57" s="20"/>
      <c r="BJ57" s="26"/>
    </row>
    <row r="58" spans="2:76" ht="13.8" customHeight="1" x14ac:dyDescent="0.25">
      <c r="B58" s="20"/>
      <c r="C58" s="201" t="s">
        <v>169</v>
      </c>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76" t="s">
        <v>5</v>
      </c>
      <c r="AV58" s="247"/>
      <c r="AW58" s="247"/>
      <c r="AX58" s="247"/>
      <c r="AY58" s="247"/>
      <c r="AZ58" s="247"/>
      <c r="BA58" s="247"/>
      <c r="BB58" s="247"/>
      <c r="BC58" s="247"/>
      <c r="BD58" s="247"/>
      <c r="BE58" s="247"/>
      <c r="BF58" s="247"/>
      <c r="BG58" s="247"/>
      <c r="BH58" s="247"/>
      <c r="BI58" s="247"/>
      <c r="BJ58" s="247"/>
      <c r="BP58" s="132" t="str">
        <f>IF(AND(AV58&lt;&gt;0,AS56="Yes",AV58&gt;200000),"Since the house property is self-occupied by the owner and has been acquired or constructed, the maximum allowable deduction under Section 20 is ₹2 lakh.",IF(AND(AV58&lt;&gt;0,AS56="No",AV58&gt;30000),"Since the house property is self-occupied by the owner and has been repaired, renewed, or reconstructed, the maximum allowable deduction under Section 20 is ₹30,000.",""))</f>
        <v/>
      </c>
      <c r="BQ58" s="132"/>
      <c r="BR58" s="132"/>
      <c r="BS58" s="132"/>
      <c r="BT58" s="132"/>
      <c r="BU58" s="132"/>
      <c r="BV58" s="132"/>
      <c r="BW58" s="132"/>
      <c r="BX58" s="132"/>
    </row>
    <row r="59" spans="2:76" ht="3.9" customHeight="1" x14ac:dyDescent="0.25">
      <c r="B59" s="20"/>
      <c r="BJ59" s="26"/>
      <c r="BP59" s="132"/>
      <c r="BQ59" s="132"/>
      <c r="BR59" s="132"/>
      <c r="BS59" s="132"/>
      <c r="BT59" s="132"/>
      <c r="BU59" s="132"/>
      <c r="BV59" s="132"/>
      <c r="BW59" s="132"/>
      <c r="BX59" s="132"/>
    </row>
    <row r="60" spans="2:76" x14ac:dyDescent="0.25">
      <c r="B60" s="22"/>
      <c r="C60" s="254" t="s">
        <v>84</v>
      </c>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76" t="s">
        <v>5</v>
      </c>
      <c r="AV60" s="200">
        <f>IF(OR(AS56="Select",ISBLANK(AS56)),0,IF(AS56="Yes",IF(AV58&lt;=200000,-AV58,-200000),IF(AV58&lt;=30000,-AV58,-30000)))</f>
        <v>0</v>
      </c>
      <c r="AW60" s="200"/>
      <c r="AX60" s="200"/>
      <c r="AY60" s="200"/>
      <c r="AZ60" s="200"/>
      <c r="BA60" s="200"/>
      <c r="BB60" s="200"/>
      <c r="BC60" s="200"/>
      <c r="BD60" s="200"/>
      <c r="BE60" s="200"/>
      <c r="BF60" s="200"/>
      <c r="BG60" s="200"/>
      <c r="BH60" s="200"/>
      <c r="BI60" s="200"/>
      <c r="BJ60" s="200"/>
      <c r="BP60" s="132"/>
      <c r="BQ60" s="132"/>
      <c r="BR60" s="132"/>
      <c r="BS60" s="132"/>
      <c r="BT60" s="132"/>
      <c r="BU60" s="132"/>
      <c r="BV60" s="132"/>
      <c r="BW60" s="132"/>
      <c r="BX60" s="132"/>
    </row>
    <row r="61" spans="2:76" ht="3.9" customHeight="1" x14ac:dyDescent="0.25">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row>
    <row r="62" spans="2:76" x14ac:dyDescent="0.25">
      <c r="B62" s="133" t="s">
        <v>171</v>
      </c>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c r="AR62" s="208"/>
      <c r="AS62" s="208"/>
      <c r="AT62" s="208"/>
      <c r="AU62" s="15"/>
      <c r="AV62" s="15"/>
      <c r="AW62" s="15"/>
      <c r="AX62" s="15"/>
      <c r="AY62" s="15"/>
      <c r="AZ62" s="15"/>
      <c r="BA62" s="15"/>
      <c r="BB62" s="15"/>
      <c r="BC62" s="15"/>
      <c r="BD62" s="15"/>
      <c r="BE62" s="15"/>
      <c r="BF62" s="15"/>
      <c r="BG62" s="15"/>
      <c r="BH62" s="15"/>
      <c r="BI62" s="15"/>
      <c r="BJ62" s="42"/>
    </row>
    <row r="63" spans="2:76" ht="3.9" customHeight="1" x14ac:dyDescent="0.25">
      <c r="B63" s="20"/>
      <c r="BJ63" s="26"/>
    </row>
    <row r="64" spans="2:76" x14ac:dyDescent="0.25">
      <c r="B64" s="20"/>
      <c r="C64" s="201" t="s">
        <v>116</v>
      </c>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201"/>
      <c r="AU64" s="76" t="s">
        <v>5</v>
      </c>
      <c r="AV64" s="247"/>
      <c r="AW64" s="247"/>
      <c r="AX64" s="247"/>
      <c r="AY64" s="247"/>
      <c r="AZ64" s="247"/>
      <c r="BA64" s="247"/>
      <c r="BB64" s="247"/>
      <c r="BC64" s="247"/>
      <c r="BD64" s="247"/>
      <c r="BE64" s="247"/>
      <c r="BF64" s="247"/>
      <c r="BG64" s="247"/>
      <c r="BH64" s="247"/>
      <c r="BI64" s="247"/>
      <c r="BJ64" s="247"/>
    </row>
    <row r="65" spans="2:75" ht="3.9" customHeight="1" x14ac:dyDescent="0.25">
      <c r="B65" s="20"/>
      <c r="BJ65" s="26"/>
    </row>
    <row r="66" spans="2:75" x14ac:dyDescent="0.25">
      <c r="B66" s="20"/>
      <c r="C66" s="201" t="s">
        <v>170</v>
      </c>
      <c r="D66" s="201"/>
      <c r="E66" s="201"/>
      <c r="F66" s="201"/>
      <c r="G66" s="201"/>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1"/>
      <c r="AP66" s="201"/>
      <c r="AQ66" s="201"/>
      <c r="AR66" s="201"/>
      <c r="AS66" s="201"/>
      <c r="AT66" s="201"/>
      <c r="AU66" s="76" t="s">
        <v>5</v>
      </c>
      <c r="AV66" s="247"/>
      <c r="AW66" s="247"/>
      <c r="AX66" s="247"/>
      <c r="AY66" s="247"/>
      <c r="AZ66" s="247"/>
      <c r="BA66" s="247"/>
      <c r="BB66" s="247"/>
      <c r="BC66" s="247"/>
      <c r="BD66" s="247"/>
      <c r="BE66" s="247"/>
      <c r="BF66" s="247"/>
      <c r="BG66" s="247"/>
      <c r="BH66" s="247"/>
      <c r="BI66" s="247"/>
      <c r="BJ66" s="247"/>
    </row>
    <row r="67" spans="2:75" ht="3.9" customHeight="1" x14ac:dyDescent="0.25">
      <c r="B67" s="20"/>
      <c r="BJ67" s="26"/>
    </row>
    <row r="68" spans="2:75" x14ac:dyDescent="0.25">
      <c r="B68" s="20"/>
      <c r="C68" s="201" t="s">
        <v>85</v>
      </c>
      <c r="D68" s="201"/>
      <c r="E68" s="201"/>
      <c r="F68" s="201"/>
      <c r="G68" s="201"/>
      <c r="H68" s="201"/>
      <c r="I68" s="201"/>
      <c r="J68" s="201"/>
      <c r="K68" s="201"/>
      <c r="L68" s="201"/>
      <c r="M68" s="201"/>
      <c r="N68" s="201"/>
      <c r="O68" s="201"/>
      <c r="P68" s="201"/>
      <c r="Q68" s="201"/>
      <c r="R68" s="201"/>
      <c r="S68" s="201"/>
      <c r="T68" s="201"/>
      <c r="U68" s="201"/>
      <c r="V68" s="201"/>
      <c r="W68" s="201"/>
      <c r="X68" s="201"/>
      <c r="Y68" s="201"/>
      <c r="Z68" s="201"/>
      <c r="AA68" s="201"/>
      <c r="AB68" s="201"/>
      <c r="AC68" s="201"/>
      <c r="AD68" s="201"/>
      <c r="AE68" s="201"/>
      <c r="AF68" s="201"/>
      <c r="AG68" s="201"/>
      <c r="AH68" s="201"/>
      <c r="AI68" s="201"/>
      <c r="AJ68" s="201"/>
      <c r="AK68" s="201"/>
      <c r="AL68" s="201"/>
      <c r="AM68" s="201"/>
      <c r="AN68" s="201"/>
      <c r="AO68" s="201"/>
      <c r="AP68" s="201"/>
      <c r="AQ68" s="201"/>
      <c r="AR68" s="201"/>
      <c r="AS68" s="201"/>
      <c r="AT68" s="201"/>
      <c r="AU68" s="76" t="s">
        <v>5</v>
      </c>
      <c r="AV68" s="247"/>
      <c r="AW68" s="247"/>
      <c r="AX68" s="247"/>
      <c r="AY68" s="247"/>
      <c r="AZ68" s="247"/>
      <c r="BA68" s="247"/>
      <c r="BB68" s="247"/>
      <c r="BC68" s="247"/>
      <c r="BD68" s="247"/>
      <c r="BE68" s="247"/>
      <c r="BF68" s="247"/>
      <c r="BG68" s="247"/>
      <c r="BH68" s="247"/>
      <c r="BI68" s="247"/>
      <c r="BJ68" s="247"/>
    </row>
    <row r="69" spans="2:75" ht="3.9" customHeight="1" x14ac:dyDescent="0.25">
      <c r="B69" s="20"/>
      <c r="BJ69" s="26"/>
    </row>
    <row r="70" spans="2:75" x14ac:dyDescent="0.25">
      <c r="B70" s="22"/>
      <c r="C70" s="201" t="s">
        <v>86</v>
      </c>
      <c r="D70" s="201"/>
      <c r="E70" s="201"/>
      <c r="F70" s="201"/>
      <c r="G70" s="201"/>
      <c r="H70" s="201"/>
      <c r="I70" s="201"/>
      <c r="J70" s="201"/>
      <c r="K70" s="201"/>
      <c r="L70" s="201"/>
      <c r="M70" s="201"/>
      <c r="N70" s="201"/>
      <c r="O70" s="201"/>
      <c r="P70" s="201"/>
      <c r="Q70" s="201"/>
      <c r="R70" s="201"/>
      <c r="S70" s="201"/>
      <c r="T70" s="201"/>
      <c r="U70" s="201"/>
      <c r="V70" s="201"/>
      <c r="W70" s="201"/>
      <c r="X70" s="201"/>
      <c r="Y70" s="201"/>
      <c r="Z70" s="201"/>
      <c r="AA70" s="201"/>
      <c r="AB70" s="201"/>
      <c r="AC70" s="201"/>
      <c r="AD70" s="201"/>
      <c r="AE70" s="201"/>
      <c r="AF70" s="201"/>
      <c r="AG70" s="201"/>
      <c r="AH70" s="201"/>
      <c r="AI70" s="201"/>
      <c r="AJ70" s="201"/>
      <c r="AK70" s="201"/>
      <c r="AL70" s="201"/>
      <c r="AM70" s="201"/>
      <c r="AN70" s="201"/>
      <c r="AO70" s="201"/>
      <c r="AP70" s="201"/>
      <c r="AQ70" s="201"/>
      <c r="AR70" s="201"/>
      <c r="AS70" s="201"/>
      <c r="AT70" s="201"/>
      <c r="AU70" s="76" t="s">
        <v>5</v>
      </c>
      <c r="AV70" s="247"/>
      <c r="AW70" s="247"/>
      <c r="AX70" s="247"/>
      <c r="AY70" s="247"/>
      <c r="AZ70" s="247"/>
      <c r="BA70" s="247"/>
      <c r="BB70" s="247"/>
      <c r="BC70" s="247"/>
      <c r="BD70" s="247"/>
      <c r="BE70" s="247"/>
      <c r="BF70" s="247"/>
      <c r="BG70" s="247"/>
      <c r="BH70" s="247"/>
      <c r="BI70" s="247"/>
      <c r="BJ70" s="247"/>
    </row>
    <row r="71" spans="2:75" ht="3.9" customHeight="1" x14ac:dyDescent="0.25"/>
    <row r="72" spans="2:75" ht="18" customHeight="1" x14ac:dyDescent="0.25">
      <c r="B72" s="254" t="s">
        <v>204</v>
      </c>
      <c r="C72" s="201"/>
      <c r="D72" s="201"/>
      <c r="E72" s="201"/>
      <c r="F72" s="201"/>
      <c r="G72" s="201"/>
      <c r="H72" s="201"/>
      <c r="I72" s="201"/>
      <c r="J72" s="201"/>
      <c r="K72" s="201"/>
      <c r="L72" s="201"/>
      <c r="M72" s="201"/>
      <c r="N72" s="201"/>
      <c r="O72" s="201"/>
      <c r="P72" s="201"/>
      <c r="Q72" s="201"/>
      <c r="R72" s="201"/>
      <c r="S72" s="201"/>
      <c r="T72" s="201"/>
      <c r="U72" s="201"/>
      <c r="V72" s="201"/>
      <c r="W72" s="201"/>
      <c r="X72" s="201"/>
      <c r="Y72" s="201"/>
      <c r="Z72" s="201"/>
      <c r="AA72" s="201"/>
      <c r="AB72" s="201"/>
      <c r="AC72" s="201"/>
      <c r="AD72" s="201"/>
      <c r="AE72" s="201"/>
      <c r="AF72" s="201"/>
      <c r="AG72" s="201"/>
      <c r="AH72" s="201"/>
      <c r="AI72" s="201"/>
      <c r="AJ72" s="201"/>
      <c r="AK72" s="201"/>
      <c r="AL72" s="201"/>
      <c r="AM72" s="201"/>
      <c r="AN72" s="201"/>
      <c r="AO72" s="201"/>
      <c r="AP72" s="201"/>
      <c r="AQ72" s="201"/>
      <c r="AR72" s="201"/>
      <c r="AS72" s="201"/>
      <c r="AT72" s="201"/>
      <c r="AU72" s="76" t="s">
        <v>5</v>
      </c>
      <c r="AV72" s="200">
        <f>IF(SIGN(SUM(BP72,AV60))&lt;&gt;-1,SUM(BP72,AV60),0)</f>
        <v>0</v>
      </c>
      <c r="AW72" s="200"/>
      <c r="AX72" s="200"/>
      <c r="AY72" s="200"/>
      <c r="AZ72" s="200"/>
      <c r="BA72" s="200"/>
      <c r="BB72" s="200"/>
      <c r="BC72" s="200"/>
      <c r="BD72" s="200"/>
      <c r="BE72" s="200"/>
      <c r="BF72" s="200"/>
      <c r="BG72" s="200"/>
      <c r="BH72" s="200"/>
      <c r="BI72" s="200"/>
      <c r="BJ72" s="200"/>
      <c r="BP72" s="41">
        <f>SUM(AV52,AV64,AV66,AV68,AV70)</f>
        <v>0</v>
      </c>
    </row>
    <row r="73" spans="2:75" ht="3.9" customHeight="1" x14ac:dyDescent="0.25"/>
    <row r="74" spans="2:75" ht="3.9" customHeight="1" x14ac:dyDescent="0.25"/>
    <row r="75" spans="2:75" ht="30" customHeight="1" x14ac:dyDescent="0.25">
      <c r="B75" s="323" t="s">
        <v>172</v>
      </c>
      <c r="C75" s="324"/>
      <c r="D75" s="324"/>
      <c r="E75" s="324"/>
      <c r="F75" s="324"/>
      <c r="G75" s="324"/>
      <c r="H75" s="324"/>
      <c r="I75" s="324"/>
      <c r="J75" s="324"/>
      <c r="K75" s="324"/>
      <c r="L75" s="324"/>
      <c r="M75" s="324"/>
      <c r="N75" s="324"/>
      <c r="O75" s="324"/>
      <c r="P75" s="324"/>
      <c r="Q75" s="324"/>
      <c r="R75" s="324"/>
      <c r="S75" s="324"/>
      <c r="T75" s="324"/>
      <c r="U75" s="324"/>
      <c r="V75" s="324"/>
      <c r="W75" s="324"/>
      <c r="X75" s="324"/>
      <c r="Y75" s="324"/>
      <c r="Z75" s="324"/>
      <c r="AA75" s="324"/>
      <c r="AB75" s="324"/>
      <c r="AC75" s="324"/>
      <c r="AD75" s="324"/>
      <c r="AE75" s="324"/>
      <c r="AF75" s="324"/>
      <c r="AG75" s="324"/>
      <c r="AH75" s="324"/>
      <c r="AI75" s="324"/>
      <c r="AJ75" s="198" t="s">
        <v>87</v>
      </c>
      <c r="AK75" s="199"/>
      <c r="AL75" s="199"/>
      <c r="AM75" s="199"/>
      <c r="AN75" s="199"/>
      <c r="AO75" s="199"/>
      <c r="AP75" s="199"/>
      <c r="AQ75" s="199"/>
      <c r="AR75" s="199"/>
      <c r="AS75" s="199"/>
      <c r="AT75" s="199"/>
      <c r="AU75" s="199"/>
      <c r="AV75" s="198" t="s">
        <v>88</v>
      </c>
      <c r="AW75" s="199"/>
      <c r="AX75" s="199"/>
      <c r="AY75" s="199"/>
      <c r="AZ75" s="199"/>
      <c r="BA75" s="199"/>
      <c r="BB75" s="199"/>
      <c r="BC75" s="199"/>
      <c r="BD75" s="199"/>
      <c r="BE75" s="199"/>
      <c r="BF75" s="199"/>
      <c r="BG75" s="199"/>
      <c r="BH75" s="199"/>
      <c r="BI75" s="199"/>
      <c r="BJ75" s="199"/>
    </row>
    <row r="76" spans="2:75" ht="5.0999999999999996" customHeight="1" x14ac:dyDescent="0.25">
      <c r="B76" s="20"/>
      <c r="BJ76" s="26"/>
      <c r="BP76" s="132" t="str">
        <f>IF(SUM(AV77,AV79)&gt;500000,"As per Schedule II, interest income accrued during the tax year is taxable if contributions made on or after April 1, 2021, exceed ₹ 5,00,000 in a fund without employer contribution or ₹ 2,50,000 in other cases. ","")</f>
        <v/>
      </c>
      <c r="BQ76" s="174"/>
      <c r="BR76" s="174"/>
      <c r="BS76" s="174"/>
      <c r="BT76" s="174"/>
      <c r="BU76" s="174"/>
      <c r="BV76" s="174"/>
      <c r="BW76" s="174"/>
    </row>
    <row r="77" spans="2:75" ht="15" customHeight="1" x14ac:dyDescent="0.25">
      <c r="B77" s="20"/>
      <c r="C77" s="201" t="s">
        <v>174</v>
      </c>
      <c r="D77" s="201"/>
      <c r="E77" s="201"/>
      <c r="F77" s="201"/>
      <c r="G77" s="20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76" t="s">
        <v>5</v>
      </c>
      <c r="AJ77" s="322">
        <f>BE24</f>
        <v>0</v>
      </c>
      <c r="AK77" s="322"/>
      <c r="AL77" s="322"/>
      <c r="AM77" s="322"/>
      <c r="AN77" s="322"/>
      <c r="AO77" s="322"/>
      <c r="AP77" s="322"/>
      <c r="AQ77" s="322"/>
      <c r="AR77" s="322"/>
      <c r="AS77" s="322"/>
      <c r="AT77" s="199"/>
      <c r="AU77" s="199"/>
      <c r="AV77" s="200">
        <f>AJ77</f>
        <v>0</v>
      </c>
      <c r="AW77" s="200"/>
      <c r="AX77" s="200"/>
      <c r="AY77" s="200"/>
      <c r="AZ77" s="200"/>
      <c r="BA77" s="200"/>
      <c r="BB77" s="200"/>
      <c r="BC77" s="200"/>
      <c r="BD77" s="200"/>
      <c r="BE77" s="200"/>
      <c r="BF77" s="200"/>
      <c r="BG77" s="200"/>
      <c r="BH77" s="200"/>
      <c r="BI77" s="200"/>
      <c r="BJ77" s="200"/>
      <c r="BP77" s="174"/>
      <c r="BQ77" s="174"/>
      <c r="BR77" s="174"/>
      <c r="BS77" s="174"/>
      <c r="BT77" s="174"/>
      <c r="BU77" s="174"/>
      <c r="BV77" s="174"/>
      <c r="BW77" s="174"/>
    </row>
    <row r="78" spans="2:75" ht="5.0999999999999996" customHeight="1" x14ac:dyDescent="0.25">
      <c r="B78" s="20"/>
      <c r="C78" s="20"/>
      <c r="BJ78" s="26"/>
      <c r="BP78" s="174"/>
      <c r="BQ78" s="174"/>
      <c r="BR78" s="174"/>
      <c r="BS78" s="174"/>
      <c r="BT78" s="174"/>
      <c r="BU78" s="174"/>
      <c r="BV78" s="174"/>
      <c r="BW78" s="174"/>
    </row>
    <row r="79" spans="2:75" x14ac:dyDescent="0.25">
      <c r="B79" s="20"/>
      <c r="C79" s="201" t="s">
        <v>175</v>
      </c>
      <c r="D79" s="201"/>
      <c r="E79" s="201"/>
      <c r="F79" s="201"/>
      <c r="G79" s="20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76" t="s">
        <v>5</v>
      </c>
      <c r="AJ79" s="322">
        <f>N34</f>
        <v>0</v>
      </c>
      <c r="AK79" s="322"/>
      <c r="AL79" s="322"/>
      <c r="AM79" s="322"/>
      <c r="AN79" s="322"/>
      <c r="AO79" s="322"/>
      <c r="AP79" s="322"/>
      <c r="AQ79" s="322"/>
      <c r="AR79" s="322"/>
      <c r="AS79" s="322"/>
      <c r="AT79" s="199"/>
      <c r="AU79" s="199"/>
      <c r="AV79" s="200">
        <f>AJ79</f>
        <v>0</v>
      </c>
      <c r="AW79" s="200"/>
      <c r="AX79" s="200"/>
      <c r="AY79" s="200"/>
      <c r="AZ79" s="200"/>
      <c r="BA79" s="200"/>
      <c r="BB79" s="200"/>
      <c r="BC79" s="200"/>
      <c r="BD79" s="200"/>
      <c r="BE79" s="200"/>
      <c r="BF79" s="200"/>
      <c r="BG79" s="200"/>
      <c r="BH79" s="200"/>
      <c r="BI79" s="200"/>
      <c r="BJ79" s="200"/>
      <c r="BP79" s="174"/>
      <c r="BQ79" s="174"/>
      <c r="BR79" s="174"/>
      <c r="BS79" s="174"/>
      <c r="BT79" s="174"/>
      <c r="BU79" s="174"/>
      <c r="BV79" s="174"/>
      <c r="BW79" s="174"/>
    </row>
    <row r="80" spans="2:75" ht="5.0999999999999996" customHeight="1" x14ac:dyDescent="0.25">
      <c r="B80" s="20"/>
      <c r="C80" s="20"/>
      <c r="BJ80" s="26"/>
      <c r="BP80" s="174"/>
      <c r="BQ80" s="174"/>
      <c r="BR80" s="174"/>
      <c r="BS80" s="174"/>
      <c r="BT80" s="174"/>
      <c r="BU80" s="174"/>
      <c r="BV80" s="174"/>
      <c r="BW80" s="174"/>
    </row>
    <row r="81" spans="2:75" x14ac:dyDescent="0.25">
      <c r="B81" s="20"/>
      <c r="C81" s="201" t="s">
        <v>176</v>
      </c>
      <c r="D81" s="201"/>
      <c r="E81" s="201"/>
      <c r="F81" s="201"/>
      <c r="G81" s="201"/>
      <c r="H81" s="201"/>
      <c r="I81" s="201"/>
      <c r="J81" s="201"/>
      <c r="K81" s="201"/>
      <c r="L81" s="201"/>
      <c r="M81" s="201"/>
      <c r="N81" s="201"/>
      <c r="O81" s="201"/>
      <c r="P81" s="201"/>
      <c r="Q81" s="201"/>
      <c r="R81" s="201"/>
      <c r="S81" s="201"/>
      <c r="T81" s="201"/>
      <c r="U81" s="201"/>
      <c r="V81" s="201"/>
      <c r="W81" s="201"/>
      <c r="X81" s="201"/>
      <c r="Y81" s="201"/>
      <c r="Z81" s="201"/>
      <c r="AA81" s="201"/>
      <c r="AB81" s="201"/>
      <c r="AC81" s="201"/>
      <c r="AD81" s="201"/>
      <c r="AE81" s="201"/>
      <c r="AF81" s="201"/>
      <c r="AG81" s="201"/>
      <c r="AH81" s="201"/>
      <c r="AI81" s="76" t="s">
        <v>5</v>
      </c>
      <c r="AJ81" s="322">
        <f>AU24</f>
        <v>0</v>
      </c>
      <c r="AK81" s="322"/>
      <c r="AL81" s="322"/>
      <c r="AM81" s="322"/>
      <c r="AN81" s="322"/>
      <c r="AO81" s="322"/>
      <c r="AP81" s="322"/>
      <c r="AQ81" s="322"/>
      <c r="AR81" s="322"/>
      <c r="AS81" s="322"/>
      <c r="AT81" s="199"/>
      <c r="AU81" s="199"/>
      <c r="AV81" s="200">
        <f>AJ81</f>
        <v>0</v>
      </c>
      <c r="AW81" s="200"/>
      <c r="AX81" s="200"/>
      <c r="AY81" s="200"/>
      <c r="AZ81" s="200"/>
      <c r="BA81" s="200"/>
      <c r="BB81" s="200"/>
      <c r="BC81" s="200"/>
      <c r="BD81" s="200"/>
      <c r="BE81" s="200"/>
      <c r="BF81" s="200"/>
      <c r="BG81" s="200"/>
      <c r="BH81" s="200"/>
      <c r="BI81" s="200"/>
      <c r="BJ81" s="200"/>
      <c r="BP81" s="175"/>
      <c r="BQ81" s="175"/>
      <c r="BR81" s="175"/>
      <c r="BS81" s="175"/>
      <c r="BT81" s="175"/>
      <c r="BU81" s="175"/>
      <c r="BV81" s="175"/>
      <c r="BW81" s="175"/>
    </row>
    <row r="82" spans="2:75" ht="5.0999999999999996" customHeight="1" x14ac:dyDescent="0.25">
      <c r="B82" s="20"/>
      <c r="C82" s="20"/>
      <c r="BJ82" s="26"/>
    </row>
    <row r="83" spans="2:75" x14ac:dyDescent="0.25">
      <c r="B83" s="20"/>
      <c r="C83" s="201" t="s">
        <v>177</v>
      </c>
      <c r="D83" s="201"/>
      <c r="E83" s="201"/>
      <c r="F83" s="201"/>
      <c r="G83" s="201"/>
      <c r="H83" s="201"/>
      <c r="I83" s="201"/>
      <c r="J83" s="201"/>
      <c r="K83" s="201"/>
      <c r="L83" s="201"/>
      <c r="M83" s="201"/>
      <c r="N83" s="201"/>
      <c r="O83" s="201"/>
      <c r="P83" s="201"/>
      <c r="Q83" s="201"/>
      <c r="R83" s="201"/>
      <c r="S83" s="201"/>
      <c r="T83" s="201"/>
      <c r="U83" s="201"/>
      <c r="V83" s="201"/>
      <c r="W83" s="201"/>
      <c r="X83" s="201"/>
      <c r="Y83" s="201"/>
      <c r="Z83" s="201"/>
      <c r="AA83" s="201"/>
      <c r="AB83" s="201"/>
      <c r="AC83" s="201"/>
      <c r="AD83" s="201"/>
      <c r="AE83" s="201"/>
      <c r="AF83" s="201"/>
      <c r="AG83" s="201"/>
      <c r="AH83" s="201"/>
      <c r="AI83" s="76" t="s">
        <v>5</v>
      </c>
      <c r="AJ83" s="322">
        <f>AZ24</f>
        <v>0</v>
      </c>
      <c r="AK83" s="322"/>
      <c r="AL83" s="322"/>
      <c r="AM83" s="322"/>
      <c r="AN83" s="322"/>
      <c r="AO83" s="322"/>
      <c r="AP83" s="322"/>
      <c r="AQ83" s="322"/>
      <c r="AR83" s="322"/>
      <c r="AS83" s="322"/>
      <c r="AT83" s="199"/>
      <c r="AU83" s="199"/>
      <c r="AV83" s="200">
        <f>AJ83</f>
        <v>0</v>
      </c>
      <c r="AW83" s="200"/>
      <c r="AX83" s="200"/>
      <c r="AY83" s="200"/>
      <c r="AZ83" s="200"/>
      <c r="BA83" s="200"/>
      <c r="BB83" s="200"/>
      <c r="BC83" s="200"/>
      <c r="BD83" s="200"/>
      <c r="BE83" s="200"/>
      <c r="BF83" s="200"/>
      <c r="BG83" s="200"/>
      <c r="BH83" s="200"/>
      <c r="BI83" s="200"/>
      <c r="BJ83" s="200"/>
    </row>
    <row r="84" spans="2:75" ht="5.0999999999999996" customHeight="1" x14ac:dyDescent="0.25">
      <c r="B84" s="20"/>
      <c r="C84" s="20"/>
      <c r="BJ84" s="26"/>
    </row>
    <row r="85" spans="2:75" x14ac:dyDescent="0.25">
      <c r="B85" s="20"/>
      <c r="C85" s="201" t="s">
        <v>178</v>
      </c>
      <c r="D85" s="201"/>
      <c r="E85" s="201"/>
      <c r="F85" s="201"/>
      <c r="G85" s="201"/>
      <c r="H85" s="201"/>
      <c r="I85" s="201"/>
      <c r="J85" s="201"/>
      <c r="K85" s="201"/>
      <c r="L85" s="201"/>
      <c r="M85" s="201"/>
      <c r="N85" s="201"/>
      <c r="O85" s="201"/>
      <c r="P85" s="201"/>
      <c r="Q85" s="201"/>
      <c r="R85" s="201"/>
      <c r="S85" s="201"/>
      <c r="T85" s="201"/>
      <c r="U85" s="201"/>
      <c r="V85" s="201"/>
      <c r="W85" s="201"/>
      <c r="X85" s="201"/>
      <c r="Y85" s="201"/>
      <c r="Z85" s="201"/>
      <c r="AA85" s="201"/>
      <c r="AB85" s="201"/>
      <c r="AC85" s="201"/>
      <c r="AD85" s="201"/>
      <c r="AE85" s="201"/>
      <c r="AF85" s="201"/>
      <c r="AG85" s="201"/>
      <c r="AH85" s="201"/>
      <c r="AI85" s="76" t="s">
        <v>5</v>
      </c>
      <c r="AJ85" s="213"/>
      <c r="AK85" s="158"/>
      <c r="AL85" s="158"/>
      <c r="AM85" s="158"/>
      <c r="AN85" s="158"/>
      <c r="AO85" s="158"/>
      <c r="AP85" s="158"/>
      <c r="AQ85" s="158"/>
      <c r="AR85" s="158"/>
      <c r="AS85" s="159"/>
      <c r="AT85" s="199"/>
      <c r="AU85" s="199"/>
      <c r="AV85" s="200">
        <f>AJ85</f>
        <v>0</v>
      </c>
      <c r="AW85" s="200"/>
      <c r="AX85" s="200"/>
      <c r="AY85" s="200"/>
      <c r="AZ85" s="200"/>
      <c r="BA85" s="200"/>
      <c r="BB85" s="200"/>
      <c r="BC85" s="200"/>
      <c r="BD85" s="200"/>
      <c r="BE85" s="200"/>
      <c r="BF85" s="200"/>
      <c r="BG85" s="200"/>
      <c r="BH85" s="200"/>
      <c r="BI85" s="200"/>
      <c r="BJ85" s="200"/>
    </row>
    <row r="86" spans="2:75" ht="5.0999999999999996" customHeight="1" x14ac:dyDescent="0.25">
      <c r="B86" s="20"/>
      <c r="C86" s="20"/>
      <c r="BJ86" s="26"/>
    </row>
    <row r="87" spans="2:75" x14ac:dyDescent="0.25">
      <c r="B87" s="20"/>
      <c r="C87" s="222" t="s">
        <v>179</v>
      </c>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5"/>
      <c r="AI87" s="76" t="s">
        <v>5</v>
      </c>
      <c r="AJ87" s="205">
        <f>AJ24</f>
        <v>0</v>
      </c>
      <c r="AK87" s="156"/>
      <c r="AL87" s="156"/>
      <c r="AM87" s="156"/>
      <c r="AN87" s="156"/>
      <c r="AO87" s="156"/>
      <c r="AP87" s="156"/>
      <c r="AQ87" s="156"/>
      <c r="AR87" s="156"/>
      <c r="AS87" s="157"/>
      <c r="AT87" s="199"/>
      <c r="AU87" s="199"/>
      <c r="AV87" s="193">
        <f>AJ87</f>
        <v>0</v>
      </c>
      <c r="AW87" s="194"/>
      <c r="AX87" s="194"/>
      <c r="AY87" s="194"/>
      <c r="AZ87" s="194"/>
      <c r="BA87" s="194"/>
      <c r="BB87" s="194"/>
      <c r="BC87" s="194"/>
      <c r="BD87" s="194"/>
      <c r="BE87" s="194"/>
      <c r="BF87" s="194"/>
      <c r="BG87" s="194"/>
      <c r="BH87" s="194"/>
      <c r="BI87" s="194"/>
      <c r="BJ87" s="195"/>
    </row>
    <row r="88" spans="2:75" ht="5.0999999999999996" customHeight="1" x14ac:dyDescent="0.25">
      <c r="B88" s="20"/>
      <c r="C88" s="20"/>
      <c r="BJ88" s="26"/>
    </row>
    <row r="89" spans="2:75" x14ac:dyDescent="0.25">
      <c r="B89" s="20"/>
      <c r="C89" s="222" t="s">
        <v>180</v>
      </c>
      <c r="D89" s="154"/>
      <c r="E89" s="154"/>
      <c r="F89" s="154"/>
      <c r="G89" s="154"/>
      <c r="H89" s="154"/>
      <c r="I89" s="154"/>
      <c r="J89" s="154"/>
      <c r="K89" s="154"/>
      <c r="L89" s="154"/>
      <c r="M89" s="154"/>
      <c r="N89" s="154"/>
      <c r="O89" s="154"/>
      <c r="P89" s="154"/>
      <c r="Q89" s="154"/>
      <c r="R89" s="154"/>
      <c r="S89" s="154"/>
      <c r="T89" s="154"/>
      <c r="U89" s="154"/>
      <c r="V89" s="154"/>
      <c r="W89" s="154"/>
      <c r="X89" s="154"/>
      <c r="Y89" s="154"/>
      <c r="Z89" s="154"/>
      <c r="AA89" s="154"/>
      <c r="AB89" s="154"/>
      <c r="AC89" s="154"/>
      <c r="AD89" s="154"/>
      <c r="AE89" s="154"/>
      <c r="AF89" s="154"/>
      <c r="AG89" s="154"/>
      <c r="AH89" s="155"/>
      <c r="AI89" s="76" t="s">
        <v>5</v>
      </c>
      <c r="AJ89" s="213"/>
      <c r="AK89" s="158"/>
      <c r="AL89" s="158"/>
      <c r="AM89" s="158"/>
      <c r="AN89" s="158"/>
      <c r="AO89" s="158"/>
      <c r="AP89" s="158"/>
      <c r="AQ89" s="158"/>
      <c r="AR89" s="158"/>
      <c r="AS89" s="159"/>
      <c r="AT89" s="199"/>
      <c r="AU89" s="199"/>
      <c r="AV89" s="193">
        <f>AJ89</f>
        <v>0</v>
      </c>
      <c r="AW89" s="194"/>
      <c r="AX89" s="194"/>
      <c r="AY89" s="194"/>
      <c r="AZ89" s="194"/>
      <c r="BA89" s="194"/>
      <c r="BB89" s="194"/>
      <c r="BC89" s="194"/>
      <c r="BD89" s="194"/>
      <c r="BE89" s="194"/>
      <c r="BF89" s="194"/>
      <c r="BG89" s="194"/>
      <c r="BH89" s="194"/>
      <c r="BI89" s="194"/>
      <c r="BJ89" s="195"/>
    </row>
    <row r="90" spans="2:75" ht="5.0999999999999996" customHeight="1" x14ac:dyDescent="0.25">
      <c r="B90" s="20"/>
      <c r="C90" s="20"/>
      <c r="BJ90" s="26"/>
    </row>
    <row r="91" spans="2:75" x14ac:dyDescent="0.25">
      <c r="B91" s="20"/>
      <c r="C91" s="222" t="s">
        <v>181</v>
      </c>
      <c r="D91" s="154"/>
      <c r="E91" s="154"/>
      <c r="F91" s="154"/>
      <c r="G91" s="154"/>
      <c r="H91" s="154"/>
      <c r="I91" s="154"/>
      <c r="J91" s="154"/>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5"/>
      <c r="AI91" s="76" t="s">
        <v>5</v>
      </c>
      <c r="AJ91" s="213"/>
      <c r="AK91" s="158"/>
      <c r="AL91" s="158"/>
      <c r="AM91" s="158"/>
      <c r="AN91" s="158"/>
      <c r="AO91" s="158"/>
      <c r="AP91" s="158"/>
      <c r="AQ91" s="158"/>
      <c r="AR91" s="158"/>
      <c r="AS91" s="159"/>
      <c r="AT91" s="199"/>
      <c r="AU91" s="199"/>
      <c r="AV91" s="193">
        <f>AJ91</f>
        <v>0</v>
      </c>
      <c r="AW91" s="194"/>
      <c r="AX91" s="194"/>
      <c r="AY91" s="194"/>
      <c r="AZ91" s="194"/>
      <c r="BA91" s="194"/>
      <c r="BB91" s="194"/>
      <c r="BC91" s="194"/>
      <c r="BD91" s="194"/>
      <c r="BE91" s="194"/>
      <c r="BF91" s="194"/>
      <c r="BG91" s="194"/>
      <c r="BH91" s="194"/>
      <c r="BI91" s="194"/>
      <c r="BJ91" s="195"/>
    </row>
    <row r="92" spans="2:75" ht="5.0999999999999996" customHeight="1" x14ac:dyDescent="0.25">
      <c r="B92" s="20"/>
      <c r="C92" s="20"/>
      <c r="BJ92" s="26"/>
    </row>
    <row r="93" spans="2:75" x14ac:dyDescent="0.25">
      <c r="B93" s="20"/>
      <c r="C93" s="222" t="s">
        <v>182</v>
      </c>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5"/>
      <c r="AI93" s="76" t="s">
        <v>5</v>
      </c>
      <c r="AJ93" s="213"/>
      <c r="AK93" s="158"/>
      <c r="AL93" s="158"/>
      <c r="AM93" s="158"/>
      <c r="AN93" s="158"/>
      <c r="AO93" s="158"/>
      <c r="AP93" s="158"/>
      <c r="AQ93" s="158"/>
      <c r="AR93" s="158"/>
      <c r="AS93" s="159"/>
      <c r="AT93" s="199"/>
      <c r="AU93" s="199"/>
      <c r="AV93" s="193">
        <f>AJ93</f>
        <v>0</v>
      </c>
      <c r="AW93" s="194"/>
      <c r="AX93" s="194"/>
      <c r="AY93" s="194"/>
      <c r="AZ93" s="194"/>
      <c r="BA93" s="194"/>
      <c r="BB93" s="194"/>
      <c r="BC93" s="194"/>
      <c r="BD93" s="194"/>
      <c r="BE93" s="194"/>
      <c r="BF93" s="194"/>
      <c r="BG93" s="194"/>
      <c r="BH93" s="194"/>
      <c r="BI93" s="194"/>
      <c r="BJ93" s="195"/>
    </row>
    <row r="94" spans="2:75" ht="5.0999999999999996" customHeight="1" x14ac:dyDescent="0.25">
      <c r="B94" s="20"/>
      <c r="C94" s="20"/>
      <c r="BJ94" s="26"/>
    </row>
    <row r="95" spans="2:75" x14ac:dyDescent="0.25">
      <c r="B95" s="20"/>
      <c r="C95" s="310" t="s">
        <v>89</v>
      </c>
      <c r="D95" s="190"/>
      <c r="E95" s="190"/>
      <c r="F95" s="190"/>
      <c r="G95" s="190"/>
      <c r="H95" s="190"/>
      <c r="I95" s="190"/>
      <c r="J95" s="190"/>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190"/>
      <c r="AH95" s="191"/>
      <c r="AI95" s="76" t="s">
        <v>5</v>
      </c>
      <c r="AJ95" s="213"/>
      <c r="AK95" s="158"/>
      <c r="AL95" s="158"/>
      <c r="AM95" s="158"/>
      <c r="AN95" s="158"/>
      <c r="AO95" s="158"/>
      <c r="AP95" s="158"/>
      <c r="AQ95" s="158"/>
      <c r="AR95" s="158"/>
      <c r="AS95" s="159"/>
      <c r="AT95" s="199"/>
      <c r="AU95" s="199"/>
      <c r="AV95" s="193">
        <f>AJ95</f>
        <v>0</v>
      </c>
      <c r="AW95" s="194"/>
      <c r="AX95" s="194"/>
      <c r="AY95" s="194"/>
      <c r="AZ95" s="194"/>
      <c r="BA95" s="194"/>
      <c r="BB95" s="194"/>
      <c r="BC95" s="194"/>
      <c r="BD95" s="194"/>
      <c r="BE95" s="194"/>
      <c r="BF95" s="194"/>
      <c r="BG95" s="194"/>
      <c r="BH95" s="194"/>
      <c r="BI95" s="194"/>
      <c r="BJ95" s="195"/>
    </row>
    <row r="96" spans="2:75" ht="5.0999999999999996" customHeight="1" x14ac:dyDescent="0.25">
      <c r="B96" s="20"/>
      <c r="C96" s="20"/>
      <c r="BJ96" s="26"/>
    </row>
    <row r="97" spans="2:74" x14ac:dyDescent="0.25">
      <c r="B97" s="20"/>
      <c r="C97" s="310" t="s">
        <v>89</v>
      </c>
      <c r="D97" s="190"/>
      <c r="E97" s="190"/>
      <c r="F97" s="190"/>
      <c r="G97" s="190"/>
      <c r="H97" s="190"/>
      <c r="I97" s="190"/>
      <c r="J97" s="190"/>
      <c r="K97" s="190"/>
      <c r="L97" s="190"/>
      <c r="M97" s="190"/>
      <c r="N97" s="190"/>
      <c r="O97" s="190"/>
      <c r="P97" s="190"/>
      <c r="Q97" s="190"/>
      <c r="R97" s="190"/>
      <c r="S97" s="190"/>
      <c r="T97" s="190"/>
      <c r="U97" s="190"/>
      <c r="V97" s="190"/>
      <c r="W97" s="190"/>
      <c r="X97" s="190"/>
      <c r="Y97" s="190"/>
      <c r="Z97" s="190"/>
      <c r="AA97" s="190"/>
      <c r="AB97" s="190"/>
      <c r="AC97" s="190"/>
      <c r="AD97" s="190"/>
      <c r="AE97" s="190"/>
      <c r="AF97" s="190"/>
      <c r="AG97" s="190"/>
      <c r="AH97" s="191"/>
      <c r="AI97" s="76" t="s">
        <v>5</v>
      </c>
      <c r="AJ97" s="213"/>
      <c r="AK97" s="158"/>
      <c r="AL97" s="158"/>
      <c r="AM97" s="158"/>
      <c r="AN97" s="158"/>
      <c r="AO97" s="158"/>
      <c r="AP97" s="158"/>
      <c r="AQ97" s="158"/>
      <c r="AR97" s="158"/>
      <c r="AS97" s="159"/>
      <c r="AT97" s="199"/>
      <c r="AU97" s="199"/>
      <c r="AV97" s="193">
        <f>AJ97</f>
        <v>0</v>
      </c>
      <c r="AW97" s="194"/>
      <c r="AX97" s="194"/>
      <c r="AY97" s="194"/>
      <c r="AZ97" s="194"/>
      <c r="BA97" s="194"/>
      <c r="BB97" s="194"/>
      <c r="BC97" s="194"/>
      <c r="BD97" s="194"/>
      <c r="BE97" s="194"/>
      <c r="BF97" s="194"/>
      <c r="BG97" s="194"/>
      <c r="BH97" s="194"/>
      <c r="BI97" s="194"/>
      <c r="BJ97" s="195"/>
    </row>
    <row r="98" spans="2:74" ht="5.0999999999999996" customHeight="1" x14ac:dyDescent="0.25">
      <c r="B98" s="20"/>
      <c r="C98" s="20"/>
      <c r="BJ98" s="26"/>
    </row>
    <row r="99" spans="2:74" x14ac:dyDescent="0.25">
      <c r="B99" s="20"/>
      <c r="C99" s="222" t="s">
        <v>205</v>
      </c>
      <c r="D99" s="154"/>
      <c r="E99" s="154"/>
      <c r="F99" s="154"/>
      <c r="G99" s="154"/>
      <c r="H99" s="154"/>
      <c r="I99" s="154"/>
      <c r="J99" s="154"/>
      <c r="K99" s="154"/>
      <c r="L99" s="154"/>
      <c r="M99" s="154"/>
      <c r="N99" s="154"/>
      <c r="O99" s="154"/>
      <c r="P99" s="154"/>
      <c r="Q99" s="154"/>
      <c r="R99" s="154"/>
      <c r="S99" s="154"/>
      <c r="T99" s="154"/>
      <c r="U99" s="154"/>
      <c r="V99" s="154"/>
      <c r="W99" s="154"/>
      <c r="X99" s="154"/>
      <c r="Y99" s="154"/>
      <c r="Z99" s="154"/>
      <c r="AA99" s="154"/>
      <c r="AB99" s="154"/>
      <c r="AC99" s="154"/>
      <c r="AD99" s="154"/>
      <c r="AE99" s="154"/>
      <c r="AF99" s="154"/>
      <c r="AG99" s="154"/>
      <c r="AH99" s="155"/>
      <c r="AI99" s="76" t="s">
        <v>5</v>
      </c>
      <c r="AJ99" s="205">
        <f>SUM(AJ77,AJ79,AJ81,AJ83,AJ85,AJ87,AJ89,AJ91,AJ93,AJ95,AJ97)</f>
        <v>0</v>
      </c>
      <c r="AK99" s="156"/>
      <c r="AL99" s="156"/>
      <c r="AM99" s="156"/>
      <c r="AN99" s="156"/>
      <c r="AO99" s="156"/>
      <c r="AP99" s="156"/>
      <c r="AQ99" s="156"/>
      <c r="AR99" s="156"/>
      <c r="AS99" s="157"/>
      <c r="AT99" s="199"/>
      <c r="AU99" s="199"/>
      <c r="AV99" s="193">
        <f>IF(AJ99&lt;=150000, AJ99,150000)</f>
        <v>0</v>
      </c>
      <c r="AW99" s="194"/>
      <c r="AX99" s="194"/>
      <c r="AY99" s="194"/>
      <c r="AZ99" s="194"/>
      <c r="BA99" s="194"/>
      <c r="BB99" s="194"/>
      <c r="BC99" s="194"/>
      <c r="BD99" s="194"/>
      <c r="BE99" s="194"/>
      <c r="BF99" s="194"/>
      <c r="BG99" s="194"/>
      <c r="BH99" s="194"/>
      <c r="BI99" s="194"/>
      <c r="BJ99" s="195"/>
      <c r="BL99" s="132" t="str">
        <f>IF(SUM(AJ99,AJ101,AJ103)&gt;150000,"The aggregate amount of deductions under section 123, 124 (5) and 124 (10) shall not exceed ₹ 150,000.","")</f>
        <v/>
      </c>
      <c r="BM99" s="132"/>
      <c r="BN99" s="132"/>
      <c r="BO99" s="132"/>
      <c r="BP99" s="132"/>
      <c r="BQ99" s="132"/>
      <c r="BR99" s="132"/>
      <c r="BS99" s="132"/>
      <c r="BT99" s="132"/>
      <c r="BU99" s="132"/>
      <c r="BV99" s="132"/>
    </row>
    <row r="100" spans="2:74" ht="5.0999999999999996" customHeight="1" x14ac:dyDescent="0.25">
      <c r="B100" s="20"/>
      <c r="C100" s="20"/>
      <c r="BJ100" s="26"/>
      <c r="BL100" s="132"/>
      <c r="BM100" s="132"/>
      <c r="BN100" s="132"/>
      <c r="BO100" s="132"/>
      <c r="BP100" s="132"/>
      <c r="BQ100" s="132"/>
      <c r="BR100" s="132"/>
      <c r="BS100" s="132"/>
      <c r="BT100" s="132"/>
      <c r="BU100" s="132"/>
      <c r="BV100" s="132"/>
    </row>
    <row r="101" spans="2:74" ht="25.95" customHeight="1" x14ac:dyDescent="0.25">
      <c r="B101" s="20"/>
      <c r="C101" s="214" t="s">
        <v>184</v>
      </c>
      <c r="D101" s="215"/>
      <c r="E101" s="215"/>
      <c r="F101" s="215"/>
      <c r="G101" s="215"/>
      <c r="H101" s="215"/>
      <c r="I101" s="215"/>
      <c r="J101" s="215"/>
      <c r="K101" s="215"/>
      <c r="L101" s="215"/>
      <c r="M101" s="215"/>
      <c r="N101" s="215"/>
      <c r="O101" s="215"/>
      <c r="P101" s="215"/>
      <c r="Q101" s="215"/>
      <c r="R101" s="215"/>
      <c r="S101" s="215"/>
      <c r="T101" s="215"/>
      <c r="U101" s="215"/>
      <c r="V101" s="215"/>
      <c r="W101" s="215"/>
      <c r="X101" s="215"/>
      <c r="Y101" s="215"/>
      <c r="Z101" s="215"/>
      <c r="AA101" s="215"/>
      <c r="AB101" s="215"/>
      <c r="AC101" s="215"/>
      <c r="AD101" s="215"/>
      <c r="AE101" s="215"/>
      <c r="AF101" s="215"/>
      <c r="AG101" s="215"/>
      <c r="AH101" s="217"/>
      <c r="AI101" s="76" t="s">
        <v>5</v>
      </c>
      <c r="AJ101" s="213"/>
      <c r="AK101" s="158"/>
      <c r="AL101" s="158"/>
      <c r="AM101" s="158"/>
      <c r="AN101" s="158"/>
      <c r="AO101" s="158"/>
      <c r="AP101" s="158"/>
      <c r="AQ101" s="158"/>
      <c r="AR101" s="158"/>
      <c r="AS101" s="159"/>
      <c r="AT101" s="199"/>
      <c r="AU101" s="199"/>
      <c r="AV101" s="193">
        <f>IF(AV99&lt;150000,IF((AV99+AJ101)&lt;=150000,AJ101,(150000-AV99)),0)</f>
        <v>0</v>
      </c>
      <c r="AW101" s="194"/>
      <c r="AX101" s="194"/>
      <c r="AY101" s="194"/>
      <c r="AZ101" s="194"/>
      <c r="BA101" s="194"/>
      <c r="BB101" s="194"/>
      <c r="BC101" s="194"/>
      <c r="BD101" s="194"/>
      <c r="BE101" s="194"/>
      <c r="BF101" s="194"/>
      <c r="BG101" s="194"/>
      <c r="BH101" s="194"/>
      <c r="BI101" s="194"/>
      <c r="BJ101" s="195"/>
      <c r="BL101" s="132"/>
      <c r="BM101" s="132"/>
      <c r="BN101" s="132"/>
      <c r="BO101" s="132"/>
      <c r="BP101" s="132"/>
      <c r="BQ101" s="132"/>
      <c r="BR101" s="132"/>
      <c r="BS101" s="132"/>
      <c r="BT101" s="132"/>
      <c r="BU101" s="132"/>
      <c r="BV101" s="132"/>
    </row>
    <row r="102" spans="2:74" ht="5.0999999999999996" customHeight="1" x14ac:dyDescent="0.25">
      <c r="B102" s="20"/>
      <c r="BJ102" s="26"/>
    </row>
    <row r="103" spans="2:74" ht="25.95" customHeight="1" x14ac:dyDescent="0.25">
      <c r="B103" s="20"/>
      <c r="C103" s="305" t="s">
        <v>183</v>
      </c>
      <c r="D103" s="306"/>
      <c r="E103" s="306"/>
      <c r="F103" s="306"/>
      <c r="G103" s="306"/>
      <c r="H103" s="306"/>
      <c r="I103" s="306"/>
      <c r="J103" s="306"/>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7"/>
      <c r="AI103" s="76" t="s">
        <v>5</v>
      </c>
      <c r="AJ103" s="322">
        <f>IF(AND('Basic Information'!AN10="NPS",SUM(K24,Q24)&lt;&gt;0),IF(ISNUMBER(BA30),IF(SUM(BA30,BA28)&gt;50000,SUM(BA30,BA28)-50000,0),IF(BA28&gt;50000,BA28-50000,0)),0)</f>
        <v>0</v>
      </c>
      <c r="AK103" s="322"/>
      <c r="AL103" s="322"/>
      <c r="AM103" s="322"/>
      <c r="AN103" s="322"/>
      <c r="AO103" s="322"/>
      <c r="AP103" s="322"/>
      <c r="AQ103" s="322"/>
      <c r="AR103" s="322"/>
      <c r="AS103" s="322"/>
      <c r="AT103" s="199"/>
      <c r="AU103" s="199"/>
      <c r="AV103" s="200">
        <f>IF(AND('Basic Information'!AN10="NPS",SUM(BA28,BA30)&lt;&gt;0,(AV99+AV101)&lt;150000),IF((AV99+AV101+AJ103)&lt;=150000,AJ103,(150000-AV99-AV101)),0)</f>
        <v>0</v>
      </c>
      <c r="AW103" s="200"/>
      <c r="AX103" s="200"/>
      <c r="AY103" s="200"/>
      <c r="AZ103" s="200"/>
      <c r="BA103" s="200"/>
      <c r="BB103" s="200"/>
      <c r="BC103" s="200"/>
      <c r="BD103" s="200"/>
      <c r="BE103" s="200"/>
      <c r="BF103" s="200"/>
      <c r="BG103" s="200"/>
      <c r="BH103" s="200"/>
      <c r="BI103" s="200"/>
      <c r="BJ103" s="200"/>
    </row>
    <row r="104" spans="2:74" ht="5.0999999999999996" customHeight="1" x14ac:dyDescent="0.25">
      <c r="B104" s="20"/>
      <c r="BJ104" s="26"/>
      <c r="BL104" s="132" t="str">
        <f>IF(AV105=50000,"The maximum allowed limit for deduction u/s 124 (3) &amp; 124 (4) is ₹ 50,000. ","")</f>
        <v/>
      </c>
      <c r="BM104" s="132"/>
      <c r="BN104" s="132"/>
      <c r="BO104" s="132"/>
      <c r="BP104" s="132"/>
      <c r="BQ104" s="132"/>
      <c r="BR104" s="132"/>
      <c r="BS104" s="132"/>
      <c r="BT104" s="132"/>
      <c r="BU104" s="132"/>
      <c r="BV104" s="132"/>
    </row>
    <row r="105" spans="2:74" ht="25.95" customHeight="1" x14ac:dyDescent="0.25">
      <c r="B105" s="20"/>
      <c r="C105" s="305" t="s">
        <v>207</v>
      </c>
      <c r="D105" s="331"/>
      <c r="E105" s="331"/>
      <c r="F105" s="331"/>
      <c r="G105" s="331"/>
      <c r="H105" s="331"/>
      <c r="I105" s="331"/>
      <c r="J105" s="331"/>
      <c r="K105" s="331"/>
      <c r="L105" s="331"/>
      <c r="M105" s="331"/>
      <c r="N105" s="331"/>
      <c r="O105" s="331"/>
      <c r="P105" s="331"/>
      <c r="Q105" s="331"/>
      <c r="R105" s="331"/>
      <c r="S105" s="331"/>
      <c r="T105" s="331"/>
      <c r="U105" s="331"/>
      <c r="V105" s="331"/>
      <c r="W105" s="331"/>
      <c r="X105" s="331"/>
      <c r="Y105" s="331"/>
      <c r="Z105" s="331"/>
      <c r="AA105" s="331"/>
      <c r="AB105" s="331"/>
      <c r="AC105" s="331"/>
      <c r="AD105" s="331"/>
      <c r="AE105" s="331"/>
      <c r="AF105" s="331"/>
      <c r="AG105" s="331"/>
      <c r="AH105" s="332"/>
      <c r="AI105" s="76" t="s">
        <v>5</v>
      </c>
      <c r="AJ105" s="213"/>
      <c r="AK105" s="158"/>
      <c r="AL105" s="158"/>
      <c r="AM105" s="158"/>
      <c r="AN105" s="158"/>
      <c r="AO105" s="158"/>
      <c r="AP105" s="158"/>
      <c r="AQ105" s="158"/>
      <c r="AR105" s="158"/>
      <c r="AS105" s="159"/>
      <c r="AT105" s="206"/>
      <c r="AU105" s="197"/>
      <c r="AV105" s="193">
        <f>IF(OR('Basic Information'!AN10="Statutory",'Basic Information'!AN10=""),IF(AJ105&gt;=50000,50000,AJ105),IF(AND('Basic Information'!AN10="NPS",SUM(K24,Q24)&lt;&gt;0),IF(ISNUMBER(BA30),IF(SUM(BA28,BA30,AJ105)&gt;=50000,50000,SUM(BA28,BA30,AJ105)),IF(SUM(BA28,AJ105)&gt;=50000,50000,SUM(BA28,AJ105))),0))</f>
        <v>0</v>
      </c>
      <c r="AW105" s="194"/>
      <c r="AX105" s="194"/>
      <c r="AY105" s="194"/>
      <c r="AZ105" s="194"/>
      <c r="BA105" s="194"/>
      <c r="BB105" s="194"/>
      <c r="BC105" s="194"/>
      <c r="BD105" s="194"/>
      <c r="BE105" s="194"/>
      <c r="BF105" s="194"/>
      <c r="BG105" s="194"/>
      <c r="BH105" s="194"/>
      <c r="BI105" s="194"/>
      <c r="BJ105" s="195"/>
      <c r="BL105" s="132"/>
      <c r="BM105" s="132"/>
      <c r="BN105" s="132"/>
      <c r="BO105" s="132"/>
      <c r="BP105" s="132"/>
      <c r="BQ105" s="132"/>
      <c r="BR105" s="132"/>
      <c r="BS105" s="132"/>
      <c r="BT105" s="132"/>
      <c r="BU105" s="132"/>
      <c r="BV105" s="132"/>
    </row>
    <row r="106" spans="2:74" ht="5.0999999999999996" customHeight="1" x14ac:dyDescent="0.25">
      <c r="B106" s="20"/>
      <c r="BJ106" s="26"/>
      <c r="BL106" s="132" t="str">
        <f>IF(AND(AJ107&lt;&gt;0,AC24=0),"Please ensure that the salary details are entered to avail the eligible deductions under 124.",IF(AND(AV107&lt;&gt;0,AJ107&gt;AV107),"The maximum allowed limit for deduction u/s 124(1) is ten per cent of the salary (Basic Pay+DA) received in the previous year. ",""))</f>
        <v/>
      </c>
      <c r="BM106" s="132"/>
      <c r="BN106" s="132"/>
      <c r="BO106" s="132"/>
      <c r="BP106" s="132"/>
      <c r="BQ106" s="132"/>
      <c r="BR106" s="132"/>
      <c r="BS106" s="132"/>
      <c r="BT106" s="132"/>
      <c r="BU106" s="132"/>
      <c r="BV106" s="132"/>
    </row>
    <row r="107" spans="2:74" ht="25.95" customHeight="1" x14ac:dyDescent="0.25">
      <c r="B107" s="20"/>
      <c r="C107" s="305" t="s">
        <v>173</v>
      </c>
      <c r="D107" s="306"/>
      <c r="E107" s="306"/>
      <c r="F107" s="306"/>
      <c r="G107" s="306"/>
      <c r="H107" s="306"/>
      <c r="I107" s="306"/>
      <c r="J107" s="306"/>
      <c r="K107" s="306"/>
      <c r="L107" s="306"/>
      <c r="M107" s="306"/>
      <c r="N107" s="306"/>
      <c r="O107" s="306"/>
      <c r="P107" s="306"/>
      <c r="Q107" s="306"/>
      <c r="R107" s="306"/>
      <c r="S107" s="306"/>
      <c r="T107" s="306"/>
      <c r="U107" s="306"/>
      <c r="V107" s="306"/>
      <c r="W107" s="306"/>
      <c r="X107" s="306"/>
      <c r="Y107" s="306"/>
      <c r="Z107" s="306"/>
      <c r="AA107" s="306"/>
      <c r="AB107" s="306"/>
      <c r="AC107" s="306"/>
      <c r="AD107" s="306"/>
      <c r="AE107" s="306"/>
      <c r="AF107" s="306"/>
      <c r="AG107" s="306"/>
      <c r="AH107" s="307"/>
      <c r="AI107" s="76" t="s">
        <v>5</v>
      </c>
      <c r="AJ107" s="322">
        <f>IF('Basic Information'!AN10="NPS",IF(ISNUMBER(BA30),SUM(BA28,BA30),BA28),0)</f>
        <v>0</v>
      </c>
      <c r="AK107" s="322"/>
      <c r="AL107" s="322"/>
      <c r="AM107" s="322"/>
      <c r="AN107" s="322"/>
      <c r="AO107" s="322"/>
      <c r="AP107" s="322"/>
      <c r="AQ107" s="322"/>
      <c r="AR107" s="322"/>
      <c r="AS107" s="322"/>
      <c r="AT107" s="199"/>
      <c r="AU107" s="199"/>
      <c r="AV107" s="200">
        <f>IF(AJ107&lt;&gt;0,BA28,0)</f>
        <v>0</v>
      </c>
      <c r="AW107" s="200"/>
      <c r="AX107" s="200"/>
      <c r="AY107" s="200"/>
      <c r="AZ107" s="200"/>
      <c r="BA107" s="200"/>
      <c r="BB107" s="200"/>
      <c r="BC107" s="200"/>
      <c r="BD107" s="200"/>
      <c r="BE107" s="200"/>
      <c r="BF107" s="200"/>
      <c r="BG107" s="200"/>
      <c r="BH107" s="200"/>
      <c r="BI107" s="200"/>
      <c r="BJ107" s="200"/>
      <c r="BL107" s="132"/>
      <c r="BM107" s="132"/>
      <c r="BN107" s="132"/>
      <c r="BO107" s="132"/>
      <c r="BP107" s="132"/>
      <c r="BQ107" s="132"/>
      <c r="BR107" s="132"/>
      <c r="BS107" s="132"/>
      <c r="BT107" s="132"/>
      <c r="BU107" s="132"/>
      <c r="BV107" s="132"/>
    </row>
    <row r="108" spans="2:74" ht="5.0999999999999996" customHeight="1" x14ac:dyDescent="0.25">
      <c r="B108" s="20"/>
      <c r="BJ108" s="26"/>
      <c r="BL108" s="132"/>
      <c r="BM108" s="132"/>
      <c r="BN108" s="132"/>
      <c r="BO108" s="132"/>
      <c r="BP108" s="132"/>
      <c r="BQ108" s="132"/>
      <c r="BR108" s="132"/>
      <c r="BS108" s="132"/>
      <c r="BT108" s="132"/>
      <c r="BU108" s="132"/>
      <c r="BV108" s="132"/>
    </row>
    <row r="109" spans="2:74" ht="15" customHeight="1" x14ac:dyDescent="0.25">
      <c r="B109" s="20"/>
      <c r="C109" s="222" t="s">
        <v>185</v>
      </c>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c r="AY109" s="154"/>
      <c r="AZ109" s="154"/>
      <c r="BA109" s="154"/>
      <c r="BB109" s="154"/>
      <c r="BC109" s="154"/>
      <c r="BD109" s="154"/>
      <c r="BE109" s="154"/>
      <c r="BF109" s="154"/>
      <c r="BG109" s="154"/>
      <c r="BH109" s="154"/>
      <c r="BI109" s="154"/>
      <c r="BJ109" s="155"/>
    </row>
    <row r="110" spans="2:74" ht="5.0999999999999996" customHeight="1" x14ac:dyDescent="0.25">
      <c r="B110" s="20"/>
      <c r="C110" s="20"/>
      <c r="BJ110" s="26"/>
    </row>
    <row r="111" spans="2:74" ht="16.5" customHeight="1" x14ac:dyDescent="0.25">
      <c r="B111" s="20"/>
      <c r="C111" s="20"/>
      <c r="D111" s="192" t="s">
        <v>90</v>
      </c>
      <c r="E111" s="203"/>
      <c r="F111" s="203"/>
      <c r="G111" s="203"/>
      <c r="H111" s="203"/>
      <c r="I111" s="203"/>
      <c r="J111" s="203"/>
      <c r="K111" s="203"/>
      <c r="L111" s="203"/>
      <c r="M111" s="203"/>
      <c r="N111" s="203"/>
      <c r="O111" s="203"/>
      <c r="P111" s="203"/>
      <c r="Q111" s="203"/>
      <c r="R111" s="203"/>
      <c r="S111" s="203"/>
      <c r="T111" s="203"/>
      <c r="U111" s="203"/>
      <c r="V111" s="203"/>
      <c r="W111" s="203"/>
      <c r="X111" s="203"/>
      <c r="Y111" s="203"/>
      <c r="Z111" s="203"/>
      <c r="AA111" s="203"/>
      <c r="AB111" s="203"/>
      <c r="AC111" s="203"/>
      <c r="AD111" s="203"/>
      <c r="AE111" s="203"/>
      <c r="AF111" s="203"/>
      <c r="AG111" s="203"/>
      <c r="AH111" s="203"/>
      <c r="AI111" s="203"/>
      <c r="AJ111" s="203"/>
      <c r="AK111" s="203"/>
      <c r="AL111" s="203"/>
      <c r="AM111" s="203"/>
      <c r="AN111" s="203"/>
      <c r="AO111" s="203"/>
      <c r="AP111" s="203"/>
      <c r="AQ111" s="203"/>
      <c r="AR111" s="203"/>
      <c r="AS111" s="203"/>
      <c r="AT111" s="203"/>
      <c r="AU111" s="203"/>
      <c r="AV111" s="203"/>
      <c r="AW111" s="203"/>
      <c r="AX111" s="203"/>
      <c r="AY111" s="203"/>
      <c r="AZ111" s="203"/>
      <c r="BA111" s="203"/>
      <c r="BB111" s="203"/>
      <c r="BC111" s="203"/>
      <c r="BD111" s="203"/>
      <c r="BE111" s="203"/>
      <c r="BF111" s="203"/>
      <c r="BG111" s="203"/>
      <c r="BH111" s="203"/>
      <c r="BI111" s="203"/>
      <c r="BJ111" s="204"/>
    </row>
    <row r="112" spans="2:74" ht="5.0999999999999996" customHeight="1" x14ac:dyDescent="0.25">
      <c r="B112" s="20"/>
      <c r="C112" s="20"/>
      <c r="D112" s="20"/>
      <c r="BJ112" s="26"/>
    </row>
    <row r="113" spans="2:77" ht="14.4" x14ac:dyDescent="0.25">
      <c r="B113" s="20"/>
      <c r="C113" s="20"/>
      <c r="D113" s="20"/>
      <c r="E113" s="201" t="s">
        <v>94</v>
      </c>
      <c r="F113" s="201"/>
      <c r="G113" s="201"/>
      <c r="H113" s="201"/>
      <c r="I113" s="201"/>
      <c r="J113" s="201"/>
      <c r="K113" s="201"/>
      <c r="L113" s="201"/>
      <c r="M113" s="201"/>
      <c r="N113" s="201"/>
      <c r="O113" s="201"/>
      <c r="P113" s="201"/>
      <c r="Q113" s="201" t="s">
        <v>93</v>
      </c>
      <c r="R113" s="201"/>
      <c r="S113" s="201"/>
      <c r="T113" s="201"/>
      <c r="U113" s="201"/>
      <c r="V113" s="201"/>
      <c r="W113" s="201"/>
      <c r="X113" s="201"/>
      <c r="Y113" s="201"/>
      <c r="Z113" s="223" t="s">
        <v>43</v>
      </c>
      <c r="AA113" s="223"/>
      <c r="AB113" s="223"/>
      <c r="AC113" s="223"/>
      <c r="AD113" s="223"/>
      <c r="AE113" s="223"/>
      <c r="AF113" s="223"/>
      <c r="AG113" s="223"/>
      <c r="AH113" s="224"/>
      <c r="AI113" s="76" t="s">
        <v>5</v>
      </c>
      <c r="AJ113" s="333"/>
      <c r="AK113" s="333"/>
      <c r="AL113" s="333"/>
      <c r="AM113" s="333"/>
      <c r="AN113" s="333"/>
      <c r="AO113" s="333"/>
      <c r="AP113" s="333"/>
      <c r="AQ113" s="333"/>
      <c r="AR113" s="333"/>
      <c r="AS113" s="333"/>
      <c r="AT113" s="199"/>
      <c r="AU113" s="199"/>
      <c r="AV113" s="200">
        <f>IF(Z113="Other than Cash",IF((AJ113+AJ115+AP24)&lt;=25000,(AJ113+AP24),IF((AJ113+AP24)&lt;25000,(AJ113+AP24),25000)),IF(AP24&lt;&gt;0,AP24,0))</f>
        <v>0</v>
      </c>
      <c r="AW113" s="200"/>
      <c r="AX113" s="200"/>
      <c r="AY113" s="200"/>
      <c r="AZ113" s="200"/>
      <c r="BA113" s="200"/>
      <c r="BB113" s="200"/>
      <c r="BC113" s="200"/>
      <c r="BD113" s="200"/>
      <c r="BE113" s="200"/>
      <c r="BF113" s="200"/>
      <c r="BG113" s="200"/>
      <c r="BH113" s="200"/>
      <c r="BI113" s="200"/>
      <c r="BJ113" s="200"/>
      <c r="BP113" s="139" t="str">
        <f>IF(AND(AJ113&lt;&gt;0, OR(ISBLANK(Z113),Z113="SELECT")),"Please select the payment mode. ",IF(AND(AJ113&lt;&gt;0, Z113="cash"),"Health Insurance premium paid in cash is not allowed for deduction u/s 126. ",IF(AP24&lt;&gt;0,"MediSep Premium is included here.","")))</f>
        <v/>
      </c>
      <c r="BQ113" s="140"/>
      <c r="BR113" s="140"/>
      <c r="BS113" s="140"/>
      <c r="BT113" s="140"/>
      <c r="BU113" s="140"/>
      <c r="BV113" s="140"/>
      <c r="BW113" s="140"/>
    </row>
    <row r="114" spans="2:77" ht="5.0999999999999996" customHeight="1" x14ac:dyDescent="0.25">
      <c r="B114" s="20"/>
      <c r="C114" s="20"/>
      <c r="D114" s="20"/>
      <c r="BJ114" s="26"/>
      <c r="BP114" s="143" t="str">
        <f>IF(AND(Z113="Other than Cash",SUM(AJ113,AJ115,AP24)&gt;=25000,SUM(AV113,AV115)=25000),"The aggregate amount of deductions u/s 126 for self and family shall not exceed ₹ 25000. ",IF(AND(AJ115&gt;5000,SUM(AV113,AV115)&lt;25000),"The eligible amount of deductions u/s 126 in Preventive Health Checkup for self and family shall not exceed ₹ 5000. ",""))</f>
        <v/>
      </c>
      <c r="BQ114" s="144"/>
      <c r="BR114" s="144"/>
      <c r="BS114" s="144"/>
      <c r="BT114" s="144"/>
      <c r="BU114" s="144"/>
      <c r="BV114" s="144"/>
      <c r="BW114" s="144"/>
      <c r="BX114" s="138"/>
    </row>
    <row r="115" spans="2:77" x14ac:dyDescent="0.25">
      <c r="B115" s="20"/>
      <c r="C115" s="20"/>
      <c r="D115" s="20"/>
      <c r="E115" s="222" t="s">
        <v>117</v>
      </c>
      <c r="F115" s="154"/>
      <c r="G115" s="154"/>
      <c r="H115" s="154"/>
      <c r="I115" s="154"/>
      <c r="J115" s="154"/>
      <c r="K115" s="154"/>
      <c r="L115" s="154"/>
      <c r="M115" s="154"/>
      <c r="N115" s="154"/>
      <c r="O115" s="154"/>
      <c r="P115" s="154"/>
      <c r="Q115" s="154"/>
      <c r="R115" s="154"/>
      <c r="S115" s="154"/>
      <c r="T115" s="154"/>
      <c r="U115" s="154"/>
      <c r="V115" s="154"/>
      <c r="W115" s="154"/>
      <c r="X115" s="154"/>
      <c r="Y115" s="154"/>
      <c r="Z115" s="154"/>
      <c r="AA115" s="154"/>
      <c r="AB115" s="154"/>
      <c r="AC115" s="154"/>
      <c r="AD115" s="154"/>
      <c r="AE115" s="154"/>
      <c r="AF115" s="154"/>
      <c r="AG115" s="154"/>
      <c r="AH115" s="155"/>
      <c r="AI115" s="76" t="s">
        <v>5</v>
      </c>
      <c r="AJ115" s="213"/>
      <c r="AK115" s="158"/>
      <c r="AL115" s="158"/>
      <c r="AM115" s="158"/>
      <c r="AN115" s="158"/>
      <c r="AO115" s="158"/>
      <c r="AP115" s="158"/>
      <c r="AQ115" s="158"/>
      <c r="AR115" s="158"/>
      <c r="AS115" s="159"/>
      <c r="AT115" s="197"/>
      <c r="AU115" s="199"/>
      <c r="AV115" s="193">
        <f>IF(AJ115&lt;&gt;0,IF(AJ115&lt;=5000,IF((AJ115+AV113)&lt;=25000,AJ115,(25000-AV113)),IF((AJ115+AV113)&gt;25000,IF((25000-AV113)&lt;=5000,(25000-AV113),5000),5000)),0)</f>
        <v>0</v>
      </c>
      <c r="AW115" s="194"/>
      <c r="AX115" s="194"/>
      <c r="AY115" s="194"/>
      <c r="AZ115" s="194"/>
      <c r="BA115" s="194"/>
      <c r="BB115" s="194"/>
      <c r="BC115" s="194"/>
      <c r="BD115" s="194"/>
      <c r="BE115" s="194"/>
      <c r="BF115" s="194"/>
      <c r="BG115" s="194"/>
      <c r="BH115" s="194"/>
      <c r="BI115" s="194"/>
      <c r="BJ115" s="195"/>
      <c r="BP115" s="144"/>
      <c r="BQ115" s="144"/>
      <c r="BR115" s="144"/>
      <c r="BS115" s="144"/>
      <c r="BT115" s="144"/>
      <c r="BU115" s="144"/>
      <c r="BV115" s="144"/>
      <c r="BW115" s="144"/>
      <c r="BX115" s="138"/>
    </row>
    <row r="116" spans="2:77" ht="5.0999999999999996" customHeight="1" x14ac:dyDescent="0.25">
      <c r="B116" s="20"/>
      <c r="C116" s="20"/>
      <c r="D116" s="20"/>
      <c r="BJ116" s="26"/>
      <c r="BP116" s="144"/>
      <c r="BQ116" s="144"/>
      <c r="BR116" s="144"/>
      <c r="BS116" s="144"/>
      <c r="BT116" s="144"/>
      <c r="BU116" s="144"/>
      <c r="BV116" s="144"/>
      <c r="BW116" s="144"/>
      <c r="BX116" s="138"/>
    </row>
    <row r="117" spans="2:77" x14ac:dyDescent="0.25">
      <c r="B117" s="20"/>
      <c r="C117" s="20"/>
      <c r="D117" s="192" t="s">
        <v>91</v>
      </c>
      <c r="E117" s="203"/>
      <c r="F117" s="203"/>
      <c r="G117" s="203"/>
      <c r="H117" s="203"/>
      <c r="I117" s="203"/>
      <c r="J117" s="203"/>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c r="AJ117" s="154"/>
      <c r="AK117" s="154"/>
      <c r="AL117" s="154"/>
      <c r="AM117" s="154"/>
      <c r="AN117" s="154"/>
      <c r="AO117" s="154"/>
      <c r="AP117" s="154"/>
      <c r="AQ117" s="154"/>
      <c r="AR117" s="154"/>
      <c r="AS117" s="154"/>
      <c r="AT117" s="154"/>
      <c r="AU117" s="154"/>
      <c r="AV117" s="154"/>
      <c r="AW117" s="154"/>
      <c r="AX117" s="154"/>
      <c r="AY117" s="154"/>
      <c r="AZ117" s="154"/>
      <c r="BA117" s="154"/>
      <c r="BB117" s="154"/>
      <c r="BC117" s="154"/>
      <c r="BD117" s="154"/>
      <c r="BE117" s="154"/>
      <c r="BF117" s="154"/>
      <c r="BG117" s="154"/>
      <c r="BH117" s="154"/>
      <c r="BI117" s="154"/>
      <c r="BJ117" s="155"/>
    </row>
    <row r="118" spans="2:77" ht="5.0999999999999996" customHeight="1" x14ac:dyDescent="0.25">
      <c r="B118" s="20"/>
      <c r="C118" s="20"/>
      <c r="D118" s="20"/>
      <c r="BJ118" s="26"/>
    </row>
    <row r="119" spans="2:77" s="45" customFormat="1" ht="15" customHeight="1" x14ac:dyDescent="0.3">
      <c r="B119" s="24"/>
      <c r="C119" s="24"/>
      <c r="D119" s="72"/>
      <c r="E119" s="214" t="s">
        <v>138</v>
      </c>
      <c r="F119" s="215"/>
      <c r="G119" s="215"/>
      <c r="H119" s="215"/>
      <c r="I119" s="215"/>
      <c r="J119" s="215"/>
      <c r="K119" s="215"/>
      <c r="L119" s="215"/>
      <c r="M119" s="215"/>
      <c r="N119" s="215"/>
      <c r="O119" s="215"/>
      <c r="P119" s="215"/>
      <c r="Q119" s="215"/>
      <c r="R119" s="215"/>
      <c r="S119" s="215"/>
      <c r="T119" s="215"/>
      <c r="U119" s="215"/>
      <c r="V119" s="215"/>
      <c r="W119" s="215"/>
      <c r="X119" s="215"/>
      <c r="Y119" s="215"/>
      <c r="Z119" s="215"/>
      <c r="AA119" s="215"/>
      <c r="AB119" s="217"/>
      <c r="AC119" s="291" t="s">
        <v>43</v>
      </c>
      <c r="AD119" s="292"/>
      <c r="AE119" s="292"/>
      <c r="AF119" s="292"/>
      <c r="AG119" s="293"/>
      <c r="AH119" s="10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25"/>
      <c r="BG119" s="225"/>
      <c r="BH119" s="225"/>
      <c r="BI119" s="225"/>
      <c r="BJ119" s="226"/>
      <c r="BP119" s="75" t="str">
        <f>IF(AND(OR(AJ121&lt;&gt;0,AJ123&lt;&gt;0,AJ125&lt;&gt;0), OR(ISBLANK(AC119),AC119="SELECT")),"Please answer the question related to parents.","")</f>
        <v/>
      </c>
    </row>
    <row r="120" spans="2:77" ht="5.0999999999999996" customHeight="1" x14ac:dyDescent="0.25">
      <c r="B120" s="20"/>
      <c r="C120" s="20"/>
      <c r="D120" s="20"/>
      <c r="BJ120" s="26"/>
    </row>
    <row r="121" spans="2:77" x14ac:dyDescent="0.25">
      <c r="B121" s="20"/>
      <c r="C121" s="20"/>
      <c r="D121" s="20"/>
      <c r="E121" s="222" t="s">
        <v>94</v>
      </c>
      <c r="F121" s="154"/>
      <c r="G121" s="154"/>
      <c r="H121" s="154"/>
      <c r="I121" s="154"/>
      <c r="J121" s="154"/>
      <c r="K121" s="154"/>
      <c r="L121" s="154"/>
      <c r="M121" s="154"/>
      <c r="N121" s="154"/>
      <c r="O121" s="154"/>
      <c r="P121" s="155"/>
      <c r="Q121" s="222" t="s">
        <v>93</v>
      </c>
      <c r="R121" s="154"/>
      <c r="S121" s="154"/>
      <c r="T121" s="154"/>
      <c r="U121" s="154"/>
      <c r="V121" s="154"/>
      <c r="W121" s="154"/>
      <c r="X121" s="154"/>
      <c r="Y121" s="155"/>
      <c r="Z121" s="227" t="s">
        <v>43</v>
      </c>
      <c r="AA121" s="228"/>
      <c r="AB121" s="228"/>
      <c r="AC121" s="228"/>
      <c r="AD121" s="228"/>
      <c r="AE121" s="228"/>
      <c r="AF121" s="228"/>
      <c r="AG121" s="228"/>
      <c r="AH121" s="229"/>
      <c r="AI121" s="78" t="s">
        <v>5</v>
      </c>
      <c r="AJ121" s="213"/>
      <c r="AK121" s="158"/>
      <c r="AL121" s="158"/>
      <c r="AM121" s="158"/>
      <c r="AN121" s="158"/>
      <c r="AO121" s="158"/>
      <c r="AP121" s="158"/>
      <c r="AQ121" s="158"/>
      <c r="AR121" s="158"/>
      <c r="AS121" s="159"/>
      <c r="AT121" s="199"/>
      <c r="AU121" s="199"/>
      <c r="AV121" s="193">
        <f>IF(AC119="Yes",IF(Z121="Other than Cash",IF((AJ121+AJ123)&lt;=50000,AJ121,IF(AJ121&lt;50000,AJ121,50000)),0),IF(AND(AC119="No",Z121="Other than Cash"),IF((AJ121+AJ123)&lt;=25000,AJ121,IF(AJ121&lt;25000,AJ121,25000)),0))</f>
        <v>0</v>
      </c>
      <c r="AW121" s="194"/>
      <c r="AX121" s="194"/>
      <c r="AY121" s="194"/>
      <c r="AZ121" s="194"/>
      <c r="BA121" s="194"/>
      <c r="BB121" s="194"/>
      <c r="BC121" s="194"/>
      <c r="BD121" s="194"/>
      <c r="BE121" s="194"/>
      <c r="BF121" s="194"/>
      <c r="BG121" s="194"/>
      <c r="BH121" s="194"/>
      <c r="BI121" s="194"/>
      <c r="BJ121" s="195"/>
      <c r="BP121" s="34" t="str">
        <f>IF(AND(AJ121&lt;&gt;0, OR(ISBLANK(Z121),Z121="SELECT")),"Please select the payment mode. ",IF(AND(AJ121&lt;&gt;0, Z121="cash"),"Health Insurance premium paid in cash is not allowed for deduction u/s 126. ",""))</f>
        <v/>
      </c>
    </row>
    <row r="122" spans="2:77" ht="5.0999999999999996" customHeight="1" x14ac:dyDescent="0.25">
      <c r="B122" s="20"/>
      <c r="C122" s="20"/>
      <c r="D122" s="20"/>
      <c r="BJ122" s="26"/>
      <c r="BP122" s="143" t="str">
        <f>IF(AND(AC119="yes",OR(Z121="Other than Cash",Z125="Other than Cash"),SUM(AV121,AV123,AV125)=50000,SUM(AJ121,AJ123,AJ125)&gt;=50000),"The aggregate amount of deductions u/s 126 for senior citizen parents shall not exceed ₹ 50000.",IF(AND(AC119="no",Z121="Other than Cash",SUM(AV121,AV123)=25000,SUM(AJ121,AJ123)&gt;=25000),"The aggregate amount of deductions u/s 126 for parents shall not exceed ₹ 25000.",IF(AND(SUM(AV115,AV123)=5000,SUM(AJ115,AJ123)&gt;5000,AJ123&lt;&gt;0),"The aggregate amount of deductions u/s 126 in Preventive Health Checkup for self and family and parents shall not exceed ₹ 5000.","")))</f>
        <v/>
      </c>
      <c r="BQ122" s="144"/>
      <c r="BR122" s="144"/>
      <c r="BS122" s="144"/>
      <c r="BT122" s="144"/>
      <c r="BU122" s="144"/>
      <c r="BV122" s="144"/>
      <c r="BW122" s="144"/>
      <c r="BX122" s="144"/>
    </row>
    <row r="123" spans="2:77" x14ac:dyDescent="0.25">
      <c r="B123" s="20"/>
      <c r="C123" s="20"/>
      <c r="D123" s="20"/>
      <c r="E123" s="222" t="s">
        <v>117</v>
      </c>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5"/>
      <c r="AI123" s="76" t="s">
        <v>5</v>
      </c>
      <c r="AJ123" s="213"/>
      <c r="AK123" s="158"/>
      <c r="AL123" s="158"/>
      <c r="AM123" s="158"/>
      <c r="AN123" s="158"/>
      <c r="AO123" s="158"/>
      <c r="AP123" s="158"/>
      <c r="AQ123" s="158"/>
      <c r="AR123" s="158"/>
      <c r="AS123" s="159"/>
      <c r="AT123" s="199"/>
      <c r="AU123" s="199"/>
      <c r="AV123" s="193">
        <f>IF(AND(AC119="Yes",AJ123&lt;&gt;0,AV125=0),IF(AV121+AJ123&lt;=50000,IF(AJ123&lt;=(5000-AV115),AJ123,(5000-AV115)),IF((50000-AV121)&lt;=(5000-AV115),(50000-AV121),(5000-AV115))),IF(AND(AC119="Yes",AJ123&lt;&gt;0,AV121=0),IF(AV125+AJ123&lt;=50000,IF(AJ123&lt;=(5000-AV115),AJ123,(5000-AV115)),IF((50000-AV125)&lt;=(5000-AV115),(50000-AV125),(5000-AV115))),IF(AND(AC119="No",AJ123&lt;&gt;0,AV125=0),IF(AV121+AJ123&lt;=25000,IF(AJ123&lt;=(5000-AV115),AJ123,(5000-AV115)),IF((25000-AV121)&lt;=(5000-AV115),(25000-AV121),(5000-AV115))),0)))</f>
        <v>0</v>
      </c>
      <c r="AW123" s="194"/>
      <c r="AX123" s="194"/>
      <c r="AY123" s="194"/>
      <c r="AZ123" s="194"/>
      <c r="BA123" s="194"/>
      <c r="BB123" s="194"/>
      <c r="BC123" s="194"/>
      <c r="BD123" s="194"/>
      <c r="BE123" s="194"/>
      <c r="BF123" s="194"/>
      <c r="BG123" s="194"/>
      <c r="BH123" s="194"/>
      <c r="BI123" s="194"/>
      <c r="BJ123" s="195"/>
      <c r="BP123" s="144"/>
      <c r="BQ123" s="144"/>
      <c r="BR123" s="144"/>
      <c r="BS123" s="144"/>
      <c r="BT123" s="144"/>
      <c r="BU123" s="144"/>
      <c r="BV123" s="144"/>
      <c r="BW123" s="144"/>
      <c r="BX123" s="144"/>
    </row>
    <row r="124" spans="2:77" ht="5.0999999999999996" customHeight="1" x14ac:dyDescent="0.25">
      <c r="B124" s="20"/>
      <c r="C124" s="20"/>
      <c r="D124" s="20"/>
      <c r="BJ124" s="26"/>
      <c r="BP124" s="144"/>
      <c r="BQ124" s="144"/>
      <c r="BR124" s="144"/>
      <c r="BS124" s="144"/>
      <c r="BT124" s="144"/>
      <c r="BU124" s="144"/>
      <c r="BV124" s="144"/>
      <c r="BW124" s="144"/>
      <c r="BX124" s="144"/>
    </row>
    <row r="125" spans="2:77" x14ac:dyDescent="0.25">
      <c r="B125" s="20"/>
      <c r="C125" s="20"/>
      <c r="D125" s="22"/>
      <c r="E125" s="222" t="s">
        <v>95</v>
      </c>
      <c r="F125" s="154"/>
      <c r="G125" s="154"/>
      <c r="H125" s="154"/>
      <c r="I125" s="154"/>
      <c r="J125" s="154"/>
      <c r="K125" s="154"/>
      <c r="L125" s="154"/>
      <c r="M125" s="154"/>
      <c r="N125" s="154"/>
      <c r="O125" s="154"/>
      <c r="P125" s="155"/>
      <c r="Q125" s="222" t="s">
        <v>93</v>
      </c>
      <c r="R125" s="154"/>
      <c r="S125" s="154"/>
      <c r="T125" s="154"/>
      <c r="U125" s="154"/>
      <c r="V125" s="154"/>
      <c r="W125" s="154"/>
      <c r="X125" s="154"/>
      <c r="Y125" s="155"/>
      <c r="Z125" s="227" t="s">
        <v>43</v>
      </c>
      <c r="AA125" s="228"/>
      <c r="AB125" s="228"/>
      <c r="AC125" s="228"/>
      <c r="AD125" s="228"/>
      <c r="AE125" s="228"/>
      <c r="AF125" s="228"/>
      <c r="AG125" s="228"/>
      <c r="AH125" s="229"/>
      <c r="AI125" s="76" t="s">
        <v>5</v>
      </c>
      <c r="AJ125" s="213"/>
      <c r="AK125" s="158"/>
      <c r="AL125" s="158"/>
      <c r="AM125" s="158"/>
      <c r="AN125" s="158"/>
      <c r="AO125" s="158"/>
      <c r="AP125" s="158"/>
      <c r="AQ125" s="158"/>
      <c r="AR125" s="158"/>
      <c r="AS125" s="159"/>
      <c r="AT125" s="199"/>
      <c r="AU125" s="199"/>
      <c r="AV125" s="193">
        <f>IF(AND(AC119="Yes",Z125="Other than Cash"),IF(AV121=0,IF(AJ125&lt;=50000,AJ125,50000),0),0)</f>
        <v>0</v>
      </c>
      <c r="AW125" s="194"/>
      <c r="AX125" s="194"/>
      <c r="AY125" s="194"/>
      <c r="AZ125" s="194"/>
      <c r="BA125" s="194"/>
      <c r="BB125" s="194"/>
      <c r="BC125" s="194"/>
      <c r="BD125" s="194"/>
      <c r="BE125" s="194"/>
      <c r="BF125" s="194"/>
      <c r="BG125" s="194"/>
      <c r="BH125" s="194"/>
      <c r="BI125" s="194"/>
      <c r="BJ125" s="195"/>
      <c r="BP125" s="132" t="str">
        <f>IF(AND(AJ125&lt;&gt;0, OR(ISBLANK(Z125),Z125="SELECT")),"Please select the payment mode. ",IF(AND(AJ125&lt;&gt;0, Z125="cash"),"Any payment made in cash for Medical expenditure is not allowed for deduction u/s 126. ", IF(AND(AC119="No",AJ125&lt;&gt;0),"You are not eligible for medical expenditure deduction u/s 126, since neither of your parents is a senior citizen.", IF(AND(AC119="yes",AV121&lt;&gt;0,AJ125&lt;&gt;0),"You are not eligible for the medical expenditure deduction u/s 126 since your parents have health insurance.",IF(AV125&lt;&gt;0,"Please furnish a statement containing the particulars of expenditures within such a period to the income-tax authority in such form and manner as may be prescribed.","")))))</f>
        <v/>
      </c>
      <c r="BQ125" s="138"/>
      <c r="BR125" s="138"/>
      <c r="BS125" s="138"/>
      <c r="BT125" s="138"/>
      <c r="BU125" s="138"/>
      <c r="BV125" s="138"/>
      <c r="BW125" s="138"/>
      <c r="BX125" s="138"/>
      <c r="BY125" s="138"/>
    </row>
    <row r="126" spans="2:77" ht="5.0999999999999996" customHeight="1" x14ac:dyDescent="0.25">
      <c r="B126" s="20"/>
      <c r="C126" s="20"/>
      <c r="BJ126" s="26"/>
      <c r="BP126" s="175"/>
      <c r="BQ126" s="175"/>
      <c r="BR126" s="175"/>
      <c r="BS126" s="175"/>
      <c r="BT126" s="175"/>
      <c r="BU126" s="175"/>
      <c r="BV126" s="175"/>
      <c r="BW126" s="175"/>
      <c r="BX126" s="175"/>
      <c r="BY126" s="175"/>
    </row>
    <row r="127" spans="2:77" x14ac:dyDescent="0.25">
      <c r="B127" s="20"/>
      <c r="C127" s="222" t="s">
        <v>186</v>
      </c>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5"/>
      <c r="AI127" s="76" t="s">
        <v>5</v>
      </c>
      <c r="AJ127" s="205">
        <f>SUM(AP24,AJ113,AJ115,AJ121,AJ123,AJ125)</f>
        <v>0</v>
      </c>
      <c r="AK127" s="156"/>
      <c r="AL127" s="156"/>
      <c r="AM127" s="156"/>
      <c r="AN127" s="156"/>
      <c r="AO127" s="156"/>
      <c r="AP127" s="156"/>
      <c r="AQ127" s="156"/>
      <c r="AR127" s="156"/>
      <c r="AS127" s="157"/>
      <c r="AT127" s="199"/>
      <c r="AU127" s="199"/>
      <c r="AV127" s="193">
        <f>SUM(AV113,AV115,AV121,AV123,AV125)</f>
        <v>0</v>
      </c>
      <c r="AW127" s="194"/>
      <c r="AX127" s="194"/>
      <c r="AY127" s="194"/>
      <c r="AZ127" s="194"/>
      <c r="BA127" s="194"/>
      <c r="BB127" s="194"/>
      <c r="BC127" s="194"/>
      <c r="BD127" s="194"/>
      <c r="BE127" s="194"/>
      <c r="BF127" s="194"/>
      <c r="BG127" s="194"/>
      <c r="BH127" s="194"/>
      <c r="BI127" s="194"/>
      <c r="BJ127" s="195"/>
      <c r="BP127" s="175"/>
      <c r="BQ127" s="175"/>
      <c r="BR127" s="175"/>
      <c r="BS127" s="175"/>
      <c r="BT127" s="175"/>
      <c r="BU127" s="175"/>
      <c r="BV127" s="175"/>
      <c r="BW127" s="175"/>
      <c r="BX127" s="175"/>
      <c r="BY127" s="175"/>
    </row>
    <row r="128" spans="2:77" ht="5.0999999999999996" customHeight="1" x14ac:dyDescent="0.25">
      <c r="B128" s="20"/>
      <c r="BJ128" s="26"/>
      <c r="BP128" s="132" t="str">
        <f>IF(AND(AJ129&lt;&gt;0, OR(ISBLANK(Y129),Y129="SELECT")),"Please select the disability level ",IF(AND(AJ129&gt;125000, Y129="Dependent Person with Severe Disability"), "The maximum deduction allowed u/s 127 for a dependent with a severe disability is ₹ 125,000. Please ensure to submit FORM NO. 10-IA.",IF(AND(AJ129&gt;75000, Y129="Dependent Person with Disability"), "The maximum deduction allowed u/s 127 for a dependent with a disability is ₹ 75,000. Please ensure to submit FORM NO. 10-IA.","")))</f>
        <v/>
      </c>
      <c r="BQ128" s="174"/>
      <c r="BR128" s="174"/>
      <c r="BS128" s="174"/>
      <c r="BT128" s="174"/>
      <c r="BU128" s="174"/>
      <c r="BV128" s="174"/>
      <c r="BW128" s="174"/>
    </row>
    <row r="129" spans="2:75" ht="25.5" customHeight="1" x14ac:dyDescent="0.25">
      <c r="B129" s="20"/>
      <c r="C129" s="318" t="s">
        <v>187</v>
      </c>
      <c r="D129" s="319"/>
      <c r="E129" s="319"/>
      <c r="F129" s="319"/>
      <c r="G129" s="319"/>
      <c r="H129" s="319"/>
      <c r="I129" s="319"/>
      <c r="J129" s="319"/>
      <c r="K129" s="319"/>
      <c r="L129" s="319"/>
      <c r="M129" s="319"/>
      <c r="N129" s="319"/>
      <c r="O129" s="319"/>
      <c r="P129" s="319"/>
      <c r="Q129" s="319"/>
      <c r="R129" s="319"/>
      <c r="S129" s="319"/>
      <c r="T129" s="319"/>
      <c r="U129" s="319"/>
      <c r="V129" s="319"/>
      <c r="W129" s="319"/>
      <c r="X129" s="320"/>
      <c r="Y129" s="314" t="s">
        <v>43</v>
      </c>
      <c r="Z129" s="315"/>
      <c r="AA129" s="315"/>
      <c r="AB129" s="315"/>
      <c r="AC129" s="315"/>
      <c r="AD129" s="315"/>
      <c r="AE129" s="315"/>
      <c r="AF129" s="316"/>
      <c r="AG129" s="316"/>
      <c r="AH129" s="317"/>
      <c r="AI129" s="76" t="s">
        <v>5</v>
      </c>
      <c r="AJ129" s="213"/>
      <c r="AK129" s="158"/>
      <c r="AL129" s="158"/>
      <c r="AM129" s="158"/>
      <c r="AN129" s="158"/>
      <c r="AO129" s="158"/>
      <c r="AP129" s="158"/>
      <c r="AQ129" s="158"/>
      <c r="AR129" s="158"/>
      <c r="AS129" s="159"/>
      <c r="AT129" s="199"/>
      <c r="AU129" s="199"/>
      <c r="AV129" s="193">
        <f>IF(AND(AJ129&lt;&gt;0, Y129="Dependent Person with Severe Disability"), IF(AJ129&lt;=125000,AJ129,125000), IF(AND(AJ129&lt;&gt;0, Y129="Dependent Person with Disability"), IF(AJ129&lt;=75000,AJ129,75000),0))</f>
        <v>0</v>
      </c>
      <c r="AW129" s="194"/>
      <c r="AX129" s="194"/>
      <c r="AY129" s="194"/>
      <c r="AZ129" s="194"/>
      <c r="BA129" s="194"/>
      <c r="BB129" s="194"/>
      <c r="BC129" s="194"/>
      <c r="BD129" s="194"/>
      <c r="BE129" s="194"/>
      <c r="BF129" s="194"/>
      <c r="BG129" s="194"/>
      <c r="BH129" s="194"/>
      <c r="BI129" s="194"/>
      <c r="BJ129" s="195"/>
      <c r="BP129" s="174"/>
      <c r="BQ129" s="174"/>
      <c r="BR129" s="174"/>
      <c r="BS129" s="174"/>
      <c r="BT129" s="174"/>
      <c r="BU129" s="174"/>
      <c r="BV129" s="174"/>
      <c r="BW129" s="174"/>
    </row>
    <row r="130" spans="2:75" ht="5.0999999999999996" customHeight="1" x14ac:dyDescent="0.25">
      <c r="B130" s="20"/>
      <c r="BJ130" s="26"/>
      <c r="BP130" s="132" t="str">
        <f>IF(AND(AJ131&lt;&gt;0, OR(ISBLANK(Y131),Y131="SELECT")),"Please select an option to specify for whom the medical treatment is done. ",IF(AND(AJ131&gt;100000, Y131="Self or Dependent - Senior Citizen"), "The maximum deduction allowed u/s 128 for Self or Dependent - Senior Citizen is ₹ 100,000.",IF(AND(AJ131&gt;40000, Y131="Self or Dependent"), "The maximum deduction allowed u/s 128 for Self or Dependent is ₹ 40,000.","")))</f>
        <v/>
      </c>
      <c r="BQ130" s="132"/>
      <c r="BR130" s="132"/>
      <c r="BS130" s="132"/>
      <c r="BT130" s="132"/>
      <c r="BU130" s="132"/>
      <c r="BV130" s="132"/>
      <c r="BW130" s="132"/>
    </row>
    <row r="131" spans="2:75" ht="23.25" customHeight="1" x14ac:dyDescent="0.25">
      <c r="B131" s="20"/>
      <c r="C131" s="285" t="s">
        <v>188</v>
      </c>
      <c r="D131" s="286"/>
      <c r="E131" s="286"/>
      <c r="F131" s="286"/>
      <c r="G131" s="286"/>
      <c r="H131" s="286"/>
      <c r="I131" s="286"/>
      <c r="J131" s="286"/>
      <c r="K131" s="286"/>
      <c r="L131" s="286"/>
      <c r="M131" s="286"/>
      <c r="N131" s="286"/>
      <c r="O131" s="286"/>
      <c r="P131" s="286"/>
      <c r="Q131" s="286"/>
      <c r="R131" s="286"/>
      <c r="S131" s="286"/>
      <c r="T131" s="286"/>
      <c r="U131" s="286"/>
      <c r="V131" s="286"/>
      <c r="W131" s="286"/>
      <c r="X131" s="330"/>
      <c r="Y131" s="314" t="s">
        <v>43</v>
      </c>
      <c r="Z131" s="292"/>
      <c r="AA131" s="292"/>
      <c r="AB131" s="292"/>
      <c r="AC131" s="292"/>
      <c r="AD131" s="292"/>
      <c r="AE131" s="292"/>
      <c r="AF131" s="328"/>
      <c r="AG131" s="328"/>
      <c r="AH131" s="329"/>
      <c r="AI131" s="76" t="s">
        <v>5</v>
      </c>
      <c r="AJ131" s="213"/>
      <c r="AK131" s="158"/>
      <c r="AL131" s="158"/>
      <c r="AM131" s="158"/>
      <c r="AN131" s="158"/>
      <c r="AO131" s="158"/>
      <c r="AP131" s="158"/>
      <c r="AQ131" s="158"/>
      <c r="AR131" s="158"/>
      <c r="AS131" s="159"/>
      <c r="AT131" s="199"/>
      <c r="AU131" s="199"/>
      <c r="AV131" s="193">
        <f>IF(AND(AJ131&lt;&gt;0, Y131="Self or Dependent - Senior Citizen"), IF(AJ131&lt;=100000,AJ131,100000),IF(AND(AJ131&lt;&gt;0, Y131="Self or Dependent"),  IF(AJ131&lt;=40000,AJ131,40000),0))</f>
        <v>0</v>
      </c>
      <c r="AW131" s="194"/>
      <c r="AX131" s="194"/>
      <c r="AY131" s="194"/>
      <c r="AZ131" s="194"/>
      <c r="BA131" s="194"/>
      <c r="BB131" s="194"/>
      <c r="BC131" s="194"/>
      <c r="BD131" s="194"/>
      <c r="BE131" s="194"/>
      <c r="BF131" s="194"/>
      <c r="BG131" s="194"/>
      <c r="BH131" s="194"/>
      <c r="BI131" s="194"/>
      <c r="BJ131" s="195"/>
      <c r="BP131" s="132"/>
      <c r="BQ131" s="132"/>
      <c r="BR131" s="132"/>
      <c r="BS131" s="132"/>
      <c r="BT131" s="132"/>
      <c r="BU131" s="132"/>
      <c r="BV131" s="132"/>
      <c r="BW131" s="132"/>
    </row>
    <row r="132" spans="2:75" ht="5.0999999999999996" customHeight="1" x14ac:dyDescent="0.25">
      <c r="B132" s="20"/>
      <c r="BJ132" s="26"/>
    </row>
    <row r="133" spans="2:75" ht="18" customHeight="1" x14ac:dyDescent="0.25">
      <c r="B133" s="20"/>
      <c r="C133" s="214" t="s">
        <v>189</v>
      </c>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5"/>
      <c r="AI133" s="76" t="s">
        <v>5</v>
      </c>
      <c r="AJ133" s="213"/>
      <c r="AK133" s="158"/>
      <c r="AL133" s="158"/>
      <c r="AM133" s="158"/>
      <c r="AN133" s="158"/>
      <c r="AO133" s="158"/>
      <c r="AP133" s="158"/>
      <c r="AQ133" s="158"/>
      <c r="AR133" s="158"/>
      <c r="AS133" s="159"/>
      <c r="AT133" s="199"/>
      <c r="AU133" s="199"/>
      <c r="AV133" s="193">
        <f>IF(AJ133&lt;=AV72,AJ133,AV72)</f>
        <v>0</v>
      </c>
      <c r="AW133" s="194"/>
      <c r="AX133" s="194"/>
      <c r="AY133" s="194"/>
      <c r="AZ133" s="194"/>
      <c r="BA133" s="194"/>
      <c r="BB133" s="194"/>
      <c r="BC133" s="194"/>
      <c r="BD133" s="194"/>
      <c r="BE133" s="194"/>
      <c r="BF133" s="194"/>
      <c r="BG133" s="194"/>
      <c r="BH133" s="194"/>
      <c r="BI133" s="194"/>
      <c r="BJ133" s="195"/>
    </row>
    <row r="134" spans="2:75" ht="5.0999999999999996" customHeight="1" x14ac:dyDescent="0.25">
      <c r="B134" s="20"/>
      <c r="BJ134" s="26"/>
    </row>
    <row r="135" spans="2:75" ht="27.6" customHeight="1" x14ac:dyDescent="0.25">
      <c r="B135" s="20"/>
      <c r="C135" s="214" t="s">
        <v>190</v>
      </c>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5"/>
      <c r="AI135" s="76" t="s">
        <v>5</v>
      </c>
      <c r="AJ135" s="213"/>
      <c r="AK135" s="158"/>
      <c r="AL135" s="158"/>
      <c r="AM135" s="158"/>
      <c r="AN135" s="158"/>
      <c r="AO135" s="158"/>
      <c r="AP135" s="158"/>
      <c r="AQ135" s="158"/>
      <c r="AR135" s="158"/>
      <c r="AS135" s="159"/>
      <c r="AT135" s="199"/>
      <c r="AU135" s="199"/>
      <c r="AV135" s="193">
        <f>IF(AJ135&lt;=50000,AJ135,50000)</f>
        <v>0</v>
      </c>
      <c r="AW135" s="194"/>
      <c r="AX135" s="194"/>
      <c r="AY135" s="194"/>
      <c r="AZ135" s="194"/>
      <c r="BA135" s="194"/>
      <c r="BB135" s="194"/>
      <c r="BC135" s="194"/>
      <c r="BD135" s="194"/>
      <c r="BE135" s="194"/>
      <c r="BF135" s="194"/>
      <c r="BG135" s="194"/>
      <c r="BH135" s="194"/>
      <c r="BI135" s="194"/>
      <c r="BJ135" s="195"/>
      <c r="BP135" s="139" t="str">
        <f>IF(AJ135&gt;50000,"The maximum deduction allowed u/s 130 is ₹ 50,000.","")</f>
        <v/>
      </c>
      <c r="BQ135" s="140"/>
      <c r="BR135" s="140"/>
      <c r="BS135" s="140"/>
      <c r="BT135" s="140"/>
      <c r="BU135" s="140"/>
      <c r="BV135" s="140"/>
      <c r="BW135" s="140"/>
    </row>
    <row r="136" spans="2:75" ht="5.0999999999999996" customHeight="1" x14ac:dyDescent="0.25">
      <c r="B136" s="20"/>
      <c r="BJ136" s="26"/>
    </row>
    <row r="137" spans="2:75" ht="27.6" customHeight="1" x14ac:dyDescent="0.25">
      <c r="B137" s="20"/>
      <c r="C137" s="305" t="s">
        <v>191</v>
      </c>
      <c r="D137" s="306"/>
      <c r="E137" s="306"/>
      <c r="F137" s="306"/>
      <c r="G137" s="306"/>
      <c r="H137" s="306"/>
      <c r="I137" s="306"/>
      <c r="J137" s="306"/>
      <c r="K137" s="306"/>
      <c r="L137" s="306"/>
      <c r="M137" s="306"/>
      <c r="N137" s="306"/>
      <c r="O137" s="306"/>
      <c r="P137" s="306"/>
      <c r="Q137" s="306"/>
      <c r="R137" s="306"/>
      <c r="S137" s="306"/>
      <c r="T137" s="306"/>
      <c r="U137" s="306"/>
      <c r="V137" s="306"/>
      <c r="W137" s="306"/>
      <c r="X137" s="306"/>
      <c r="Y137" s="306"/>
      <c r="Z137" s="306"/>
      <c r="AA137" s="306"/>
      <c r="AB137" s="306"/>
      <c r="AC137" s="306"/>
      <c r="AD137" s="306"/>
      <c r="AE137" s="306"/>
      <c r="AF137" s="306"/>
      <c r="AG137" s="306"/>
      <c r="AH137" s="307"/>
      <c r="AI137" s="76" t="s">
        <v>5</v>
      </c>
      <c r="AJ137" s="213"/>
      <c r="AK137" s="158"/>
      <c r="AL137" s="158"/>
      <c r="AM137" s="158"/>
      <c r="AN137" s="158"/>
      <c r="AO137" s="158"/>
      <c r="AP137" s="158"/>
      <c r="AQ137" s="158"/>
      <c r="AR137" s="158"/>
      <c r="AS137" s="159"/>
      <c r="AT137" s="199"/>
      <c r="AU137" s="199"/>
      <c r="AV137" s="193">
        <f>IF(AV135=0,IF(AJ137&lt;=150000,AJ137,150000),0)</f>
        <v>0</v>
      </c>
      <c r="AW137" s="194"/>
      <c r="AX137" s="194"/>
      <c r="AY137" s="194"/>
      <c r="AZ137" s="194"/>
      <c r="BA137" s="194"/>
      <c r="BB137" s="194"/>
      <c r="BC137" s="194"/>
      <c r="BD137" s="194"/>
      <c r="BE137" s="194"/>
      <c r="BF137" s="194"/>
      <c r="BG137" s="194"/>
      <c r="BH137" s="194"/>
      <c r="BI137" s="194"/>
      <c r="BJ137" s="195"/>
      <c r="BP137" s="139" t="str">
        <f>IF(AND(AV135&lt;&gt;0,AJ137&lt;&gt;0),"You are not eligible for deductions u/s 131, since you have deduction u/s 130.",IF(AND(AV135=0,AJ137&gt;150000),"The maximum deduction allowed u/s 131 is ₹ 150,000.",""))</f>
        <v/>
      </c>
      <c r="BQ137" s="140"/>
      <c r="BR137" s="140"/>
      <c r="BS137" s="140"/>
      <c r="BT137" s="140"/>
      <c r="BU137" s="140"/>
      <c r="BV137" s="140"/>
      <c r="BW137" s="140"/>
    </row>
    <row r="138" spans="2:75" ht="5.0999999999999996" customHeight="1" x14ac:dyDescent="0.25">
      <c r="B138" s="20"/>
      <c r="BJ138" s="26"/>
    </row>
    <row r="139" spans="2:75" ht="27.6" customHeight="1" x14ac:dyDescent="0.25">
      <c r="B139" s="20"/>
      <c r="C139" s="305" t="s">
        <v>193</v>
      </c>
      <c r="D139" s="306"/>
      <c r="E139" s="306"/>
      <c r="F139" s="306"/>
      <c r="G139" s="306"/>
      <c r="H139" s="306"/>
      <c r="I139" s="306"/>
      <c r="J139" s="306"/>
      <c r="K139" s="306"/>
      <c r="L139" s="306"/>
      <c r="M139" s="306"/>
      <c r="N139" s="306"/>
      <c r="O139" s="306"/>
      <c r="P139" s="306"/>
      <c r="Q139" s="306"/>
      <c r="R139" s="306"/>
      <c r="S139" s="306"/>
      <c r="T139" s="306"/>
      <c r="U139" s="306"/>
      <c r="V139" s="306"/>
      <c r="W139" s="306"/>
      <c r="X139" s="306"/>
      <c r="Y139" s="306"/>
      <c r="Z139" s="306"/>
      <c r="AA139" s="306"/>
      <c r="AB139" s="306"/>
      <c r="AC139" s="306"/>
      <c r="AD139" s="306"/>
      <c r="AE139" s="306"/>
      <c r="AF139" s="306"/>
      <c r="AG139" s="306"/>
      <c r="AH139" s="307"/>
      <c r="AI139" s="76" t="s">
        <v>5</v>
      </c>
      <c r="AJ139" s="213"/>
      <c r="AK139" s="158"/>
      <c r="AL139" s="158"/>
      <c r="AM139" s="158"/>
      <c r="AN139" s="158"/>
      <c r="AO139" s="158"/>
      <c r="AP139" s="158"/>
      <c r="AQ139" s="158"/>
      <c r="AR139" s="158"/>
      <c r="AS139" s="159"/>
      <c r="AT139" s="199"/>
      <c r="AU139" s="199"/>
      <c r="AV139" s="193">
        <f>IF(AJ139&lt;=150000,AJ139,150000)</f>
        <v>0</v>
      </c>
      <c r="AW139" s="194"/>
      <c r="AX139" s="194"/>
      <c r="AY139" s="194"/>
      <c r="AZ139" s="194"/>
      <c r="BA139" s="194"/>
      <c r="BB139" s="194"/>
      <c r="BC139" s="194"/>
      <c r="BD139" s="194"/>
      <c r="BE139" s="194"/>
      <c r="BF139" s="194"/>
      <c r="BG139" s="194"/>
      <c r="BH139" s="194"/>
      <c r="BI139" s="194"/>
      <c r="BJ139" s="195"/>
      <c r="BP139" s="141" t="str">
        <f>IF(AJ139&gt;150000,"The maximum deduction allowed u/s 132 is ₹ 150,000.","")</f>
        <v/>
      </c>
      <c r="BQ139" s="142"/>
      <c r="BR139" s="142"/>
      <c r="BS139" s="142"/>
      <c r="BT139" s="142"/>
      <c r="BU139" s="142"/>
      <c r="BV139" s="142"/>
      <c r="BW139" s="142"/>
    </row>
    <row r="140" spans="2:75" ht="5.0999999999999996" customHeight="1" x14ac:dyDescent="0.25">
      <c r="B140" s="20"/>
      <c r="BJ140" s="26"/>
    </row>
    <row r="141" spans="2:75" ht="39.9" customHeight="1" x14ac:dyDescent="0.25">
      <c r="B141" s="20"/>
      <c r="C141" s="214" t="s">
        <v>192</v>
      </c>
      <c r="D141" s="288"/>
      <c r="E141" s="288"/>
      <c r="F141" s="288"/>
      <c r="G141" s="288"/>
      <c r="H141" s="288"/>
      <c r="I141" s="288"/>
      <c r="J141" s="288"/>
      <c r="K141" s="288"/>
      <c r="L141" s="288"/>
      <c r="M141" s="288"/>
      <c r="N141" s="210" t="s">
        <v>127</v>
      </c>
      <c r="O141" s="303"/>
      <c r="P141" s="303"/>
      <c r="Q141" s="303"/>
      <c r="R141" s="303"/>
      <c r="S141" s="303"/>
      <c r="T141" s="303"/>
      <c r="U141" s="303"/>
      <c r="V141" s="304"/>
      <c r="W141" s="214" t="s">
        <v>93</v>
      </c>
      <c r="X141" s="288"/>
      <c r="Y141" s="288"/>
      <c r="Z141" s="288"/>
      <c r="AA141" s="216"/>
      <c r="AB141" s="210" t="s">
        <v>43</v>
      </c>
      <c r="AC141" s="211"/>
      <c r="AD141" s="211"/>
      <c r="AE141" s="211"/>
      <c r="AF141" s="211"/>
      <c r="AG141" s="211"/>
      <c r="AH141" s="212"/>
      <c r="AI141" s="76" t="s">
        <v>5</v>
      </c>
      <c r="AJ141" s="213"/>
      <c r="AK141" s="158"/>
      <c r="AL141" s="158"/>
      <c r="AM141" s="158"/>
      <c r="AN141" s="158"/>
      <c r="AO141" s="158"/>
      <c r="AP141" s="158"/>
      <c r="AQ141" s="158"/>
      <c r="AR141" s="158"/>
      <c r="AS141" s="159"/>
      <c r="AT141" s="199"/>
      <c r="AU141" s="199"/>
      <c r="AV141" s="193">
        <f>IF(AND(AJ141&lt;&gt;0,AB141="cash"),IF(AND(N141="100% deduction without limit",AJ141&lt;=2000),IF(AV72&gt;=AJ141,AJ141,AV72),IF(AND(N141="50% deduction without limit",AJ141&lt;=2000),IF(AV72&gt;=ROUND(AJ141*0.5,0),ROUND(AJ141*0.5,0),AV72),IF(AND(N141="100% deduction with limit",AJ141&lt;=2000),IF(ROUND(BK141*0.1,0)&gt;AJ141,AJ141,ROUND(BK141*0.1,0)),IF(AND(N141="50% deduction with limit",AJ141&lt;=2000),IF(ROUND(BK141*0.05,0)&gt;ROUND(AJ141*0.5,0),ROUND(AJ141*0.5,0),ROUND(BK141*0.05,0)),0)))),IF(AND(AJ141&lt;&gt;0,AB141="Other than cash"),IF(N141="100% deduction without limit",IF(AV72&gt;=AJ141,AJ141,AV72),IF(N141="50% deduction without limit",IF(AV72&gt;=ROUND(AJ141*0.5,0),ROUND(AJ141*0.5,0),AV72),IF(N141="100% deduction with limit",IF(AJ141&lt;=ROUND(BK141*0.1,0),AJ141,ROUND(BK141*0.1,0)),IF(N141="50% deduction with limit",IF(AJ141&lt;=ROUND(BK141*0.05,0),ROUND(AJ141*0.5,0),ROUND(BK141*0.05,0)),0)))),0))</f>
        <v>0</v>
      </c>
      <c r="AW141" s="194"/>
      <c r="AX141" s="194"/>
      <c r="AY141" s="194"/>
      <c r="AZ141" s="194"/>
      <c r="BA141" s="194"/>
      <c r="BB141" s="194"/>
      <c r="BC141" s="194"/>
      <c r="BD141" s="194"/>
      <c r="BE141" s="194"/>
      <c r="BF141" s="194"/>
      <c r="BG141" s="194"/>
      <c r="BH141" s="194"/>
      <c r="BI141" s="194"/>
      <c r="BJ141" s="195"/>
      <c r="BK141" s="41">
        <f>IF(AND(AV72&lt;&gt;0,AJ141&lt;&gt;0,AV72&gt;=BL141),AV72-BL141,0)</f>
        <v>0</v>
      </c>
      <c r="BL141" s="41">
        <f>IF(AND(AV72&lt;&gt;0,AJ141&lt;&gt;0),SUM(AV99,AV101,AV103,AV105,AV107,AV127,AV129,AV131,AV133,AV135,AV137,AV139,AV145,AV147,AV149,AV155,AV157),0)</f>
        <v>0</v>
      </c>
      <c r="BP141" s="132" t="str">
        <f>IF(AND(AJ141&lt;&gt;0,OR(ISBLANK(N141),N141="Select Donation Type")),"Please select the donation type. ",IF(AND(AJ141&lt;&gt;0, OR(ISBLANK(AB141),AB141="SELECT")),"Please select the payment mode. ",IF(AND(AJ141&gt;2000, AB141="cash"),"Donation made in excess of ₹ 2000 in cash mode is not allowed for deduction u/s 133. ","")))</f>
        <v/>
      </c>
      <c r="BQ141" s="138"/>
      <c r="BR141" s="138"/>
      <c r="BS141" s="138"/>
      <c r="BT141" s="138"/>
      <c r="BU141" s="138"/>
      <c r="BV141" s="138"/>
    </row>
    <row r="142" spans="2:75" ht="5.0999999999999996" customHeight="1" x14ac:dyDescent="0.25">
      <c r="B142" s="20"/>
      <c r="BJ142" s="26"/>
    </row>
    <row r="143" spans="2:75" ht="39.9" customHeight="1" x14ac:dyDescent="0.25">
      <c r="B143" s="20"/>
      <c r="C143" s="214" t="s">
        <v>192</v>
      </c>
      <c r="D143" s="288"/>
      <c r="E143" s="288"/>
      <c r="F143" s="288"/>
      <c r="G143" s="288"/>
      <c r="H143" s="288"/>
      <c r="I143" s="288"/>
      <c r="J143" s="288"/>
      <c r="K143" s="288"/>
      <c r="L143" s="288"/>
      <c r="M143" s="288"/>
      <c r="N143" s="210" t="s">
        <v>127</v>
      </c>
      <c r="O143" s="303"/>
      <c r="P143" s="303"/>
      <c r="Q143" s="303"/>
      <c r="R143" s="303"/>
      <c r="S143" s="303"/>
      <c r="T143" s="303"/>
      <c r="U143" s="303"/>
      <c r="V143" s="304"/>
      <c r="W143" s="214" t="s">
        <v>93</v>
      </c>
      <c r="X143" s="288"/>
      <c r="Y143" s="288"/>
      <c r="Z143" s="288"/>
      <c r="AA143" s="216"/>
      <c r="AB143" s="210" t="s">
        <v>43</v>
      </c>
      <c r="AC143" s="211"/>
      <c r="AD143" s="211"/>
      <c r="AE143" s="211"/>
      <c r="AF143" s="211"/>
      <c r="AG143" s="211"/>
      <c r="AH143" s="212"/>
      <c r="AI143" s="76" t="s">
        <v>5</v>
      </c>
      <c r="AJ143" s="213"/>
      <c r="AK143" s="158"/>
      <c r="AL143" s="158"/>
      <c r="AM143" s="158"/>
      <c r="AN143" s="158"/>
      <c r="AO143" s="158"/>
      <c r="AP143" s="158"/>
      <c r="AQ143" s="158"/>
      <c r="AR143" s="158"/>
      <c r="AS143" s="159"/>
      <c r="AT143" s="199"/>
      <c r="AU143" s="199"/>
      <c r="AV143" s="193">
        <f>IF(AND(AJ143&lt;&gt;0,AB143="cash"),IF(AND(N143="100% deduction without limit",AJ143&lt;=2000),IF(AV72&gt;=AJ143,AJ143,AV72),IF(AND(N143="50% deduction without limit",AJ143&lt;=2000),IF(AV72&gt;=ROUND(AJ143*0.5,0),ROUND(AJ143*0.5,0),AV72),IF(AND(N143="100% deduction with limit",AJ143&lt;=2000),IF(ROUND(BK143*0.1,0)&gt;AJ143,AJ143,ROUND(BK143*0.1,0)),IF(AND(N143="50% deduction with limit",AJ143&lt;=2000),IF(ROUND(BK143*0.05,0)&gt;ROUND(AJ143*0.5,0),ROUND(AJ143*0.5,0),ROUND(BK143*0.05,0)),0)))),IF(AND(AJ143&lt;&gt;0,AB143="Other than cash"),IF(N143="100% deduction without limit",IF(AV72&gt;=AJ143,AJ143,AV72),IF(N143="50% deduction without limit",IF(AV72&gt;=ROUND(AJ143*0.5,0),ROUND(AJ143*0.5,0),AV72),IF(N143="100% deduction with limit",IF(AJ143&lt;=ROUND(BK143*0.1,0),AJ143,ROUND(BK143*0.1,0)),IF(N143="50% deduction with limit",IF(AJ143&lt;=ROUND(BK143*0.05,0),ROUND(AJ143*0.5,0),ROUND(BK143*0.05,0)),0)))),0))</f>
        <v>0</v>
      </c>
      <c r="AW143" s="194"/>
      <c r="AX143" s="194"/>
      <c r="AY143" s="194"/>
      <c r="AZ143" s="194"/>
      <c r="BA143" s="194"/>
      <c r="BB143" s="194"/>
      <c r="BC143" s="194"/>
      <c r="BD143" s="194"/>
      <c r="BE143" s="194"/>
      <c r="BF143" s="194"/>
      <c r="BG143" s="194"/>
      <c r="BH143" s="194"/>
      <c r="BI143" s="194"/>
      <c r="BJ143" s="195"/>
      <c r="BK143" s="41">
        <f>IF(AND(AV72&lt;&gt;0,AJ143&lt;&gt;0,AV72&gt;=BL143),AV72-BL143,0)</f>
        <v>0</v>
      </c>
      <c r="BL143" s="41">
        <f>IF(AND(AV72&lt;&gt;0,AJ143&lt;&gt;0),SUM(AV99,AV101,AV103,AV105,AV107,AV127,AV129,AV131,AV133,AV135,AV137,AV139,AV145,AV147,AV149,AV155,AV157),0)</f>
        <v>0</v>
      </c>
      <c r="BP143" s="132" t="str">
        <f>IF(AND(AJ143&lt;&gt;0,OR(ISBLANK(N143),N143="Select Donation Type")),"Please select the donation type. ",IF(AND(AJ143&lt;&gt;0, OR(ISBLANK(AB143),AB143="SELECT")),"Please select the payment mode. ",IF(AND(N141=N143,AB141=AB143,AJ141=AJ143,AND(AJ141&lt;&gt;0,AJ143&lt;&gt;0)),"Please avoid duplicate entries in 133 sections. ",IF(AND(AJ143&gt;2000, AB143="cash"),"Donation made in excess of ₹ 2000 in cash mode is not allowed for deduction u/s 133. ",""))))</f>
        <v/>
      </c>
      <c r="BQ143" s="138"/>
      <c r="BR143" s="138"/>
      <c r="BS143" s="138"/>
      <c r="BT143" s="138"/>
      <c r="BU143" s="138"/>
      <c r="BV143" s="138"/>
    </row>
    <row r="144" spans="2:75" ht="5.0999999999999996" customHeight="1" x14ac:dyDescent="0.25">
      <c r="B144" s="20"/>
      <c r="BJ144" s="26"/>
      <c r="BP144" s="143" t="str">
        <f>IF(AND(AJ145&lt;&gt;0,W24&lt;&gt;0),"Since you have HRA component in your salary, you are not eligible for deduction u/s 134, but eligible to claim HRA exemption.",IF(AND(AJ145&lt;&gt;0,OR(-AV60&lt;&gt;0,AV91&lt;&gt;0,AV135&lt;&gt;0,AV137&lt;&gt;0)),"You are not eligible for deduction u/s 134, since you have self occupied house property.",IF(AND(AJ145&lt;&gt;0,AND(K24=0,Q24=0)),"Please ensure that either Basic Pay or DA is included in the Salary Statement.",IF(AND(AJ145&lt;&gt;0,AJ145&lt;=ROUND(0.1*(K24+Q24),0)),"You are not eligible for deduction u/s 134, since the actual rent paid is 10 per cent or less than 10 per cent of your salary.",IF(AV145&lt;&gt;0,"Please ensure to submit FORM NO. 10BA.","")))))</f>
        <v/>
      </c>
      <c r="BQ144" s="144"/>
      <c r="BR144" s="144"/>
      <c r="BS144" s="144"/>
      <c r="BT144" s="144"/>
      <c r="BU144" s="144"/>
      <c r="BV144" s="144"/>
      <c r="BW144" s="144"/>
    </row>
    <row r="145" spans="2:75" s="80" customFormat="1" ht="18" customHeight="1" x14ac:dyDescent="0.3">
      <c r="B145" s="79"/>
      <c r="C145" s="214" t="s">
        <v>194</v>
      </c>
      <c r="D145" s="215"/>
      <c r="E145" s="215"/>
      <c r="F145" s="215"/>
      <c r="G145" s="215"/>
      <c r="H145" s="215"/>
      <c r="I145" s="215"/>
      <c r="J145" s="215"/>
      <c r="K145" s="215"/>
      <c r="L145" s="215"/>
      <c r="M145" s="215"/>
      <c r="N145" s="215"/>
      <c r="O145" s="215"/>
      <c r="P145" s="215"/>
      <c r="Q145" s="215"/>
      <c r="R145" s="215"/>
      <c r="S145" s="215"/>
      <c r="T145" s="215"/>
      <c r="U145" s="215"/>
      <c r="V145" s="215"/>
      <c r="W145" s="215"/>
      <c r="X145" s="215"/>
      <c r="Y145" s="215"/>
      <c r="Z145" s="215"/>
      <c r="AA145" s="215"/>
      <c r="AB145" s="215"/>
      <c r="AC145" s="215"/>
      <c r="AD145" s="215"/>
      <c r="AE145" s="215"/>
      <c r="AF145" s="215"/>
      <c r="AG145" s="215"/>
      <c r="AH145" s="217"/>
      <c r="AI145" s="76" t="s">
        <v>5</v>
      </c>
      <c r="AJ145" s="213"/>
      <c r="AK145" s="158"/>
      <c r="AL145" s="158"/>
      <c r="AM145" s="158"/>
      <c r="AN145" s="158"/>
      <c r="AO145" s="158"/>
      <c r="AP145" s="158"/>
      <c r="AQ145" s="158"/>
      <c r="AR145" s="158"/>
      <c r="AS145" s="159"/>
      <c r="AT145" s="206"/>
      <c r="AU145" s="197"/>
      <c r="AV145" s="193">
        <f>IF(AND(AJ145&lt;&gt;0,W24=0,AV60=0,AV91=0,AV135=0,AV137=0),MIN(ROUND(0.25*(K24+Q24),0),60000,IF(AJ145&gt;ROUND(0.1*(K24+Q24),0),AJ145-ROUND(0.1*(K24+Q24),0),0)),0)</f>
        <v>0</v>
      </c>
      <c r="AW145" s="194"/>
      <c r="AX145" s="194"/>
      <c r="AY145" s="194"/>
      <c r="AZ145" s="194"/>
      <c r="BA145" s="194"/>
      <c r="BB145" s="194"/>
      <c r="BC145" s="194"/>
      <c r="BD145" s="194"/>
      <c r="BE145" s="194"/>
      <c r="BF145" s="194"/>
      <c r="BG145" s="194"/>
      <c r="BH145" s="194"/>
      <c r="BI145" s="194"/>
      <c r="BJ145" s="195"/>
      <c r="BP145" s="144"/>
      <c r="BQ145" s="144"/>
      <c r="BR145" s="144"/>
      <c r="BS145" s="144"/>
      <c r="BT145" s="144"/>
      <c r="BU145" s="144"/>
      <c r="BV145" s="144"/>
      <c r="BW145" s="144"/>
    </row>
    <row r="146" spans="2:75" ht="5.0999999999999996" customHeight="1" x14ac:dyDescent="0.25">
      <c r="B146" s="20"/>
      <c r="BJ146" s="26"/>
      <c r="BP146" s="138"/>
      <c r="BQ146" s="138"/>
      <c r="BR146" s="138"/>
      <c r="BS146" s="138"/>
      <c r="BT146" s="138"/>
      <c r="BU146" s="138"/>
      <c r="BV146" s="138"/>
      <c r="BW146" s="138"/>
    </row>
    <row r="147" spans="2:75" ht="27.6" customHeight="1" x14ac:dyDescent="0.25">
      <c r="B147" s="20"/>
      <c r="C147" s="214" t="s">
        <v>195</v>
      </c>
      <c r="D147" s="215"/>
      <c r="E147" s="215"/>
      <c r="F147" s="215"/>
      <c r="G147" s="215"/>
      <c r="H147" s="215"/>
      <c r="I147" s="215"/>
      <c r="J147" s="215"/>
      <c r="K147" s="215"/>
      <c r="L147" s="215"/>
      <c r="M147" s="215"/>
      <c r="N147" s="215"/>
      <c r="O147" s="215"/>
      <c r="P147" s="215"/>
      <c r="Q147" s="215"/>
      <c r="R147" s="215"/>
      <c r="S147" s="215"/>
      <c r="T147" s="215"/>
      <c r="U147" s="215"/>
      <c r="V147" s="216"/>
      <c r="W147" s="214" t="s">
        <v>93</v>
      </c>
      <c r="X147" s="288"/>
      <c r="Y147" s="288"/>
      <c r="Z147" s="288"/>
      <c r="AA147" s="216"/>
      <c r="AB147" s="210" t="s">
        <v>43</v>
      </c>
      <c r="AC147" s="211"/>
      <c r="AD147" s="211"/>
      <c r="AE147" s="211"/>
      <c r="AF147" s="211"/>
      <c r="AG147" s="211"/>
      <c r="AH147" s="212"/>
      <c r="AI147" s="76" t="s">
        <v>5</v>
      </c>
      <c r="AJ147" s="213"/>
      <c r="AK147" s="158"/>
      <c r="AL147" s="158"/>
      <c r="AM147" s="158"/>
      <c r="AN147" s="158"/>
      <c r="AO147" s="158"/>
      <c r="AP147" s="158"/>
      <c r="AQ147" s="158"/>
      <c r="AR147" s="158"/>
      <c r="AS147" s="159"/>
      <c r="AT147" s="199"/>
      <c r="AU147" s="199"/>
      <c r="AV147" s="193">
        <f>IF(AB147="Other than Cash",IF(AJ147&lt;=AV72,AJ147,AV72),IF(AB147="Cash",IF(AJ147&lt;=2000,AJ147,0),0))</f>
        <v>0</v>
      </c>
      <c r="AW147" s="194"/>
      <c r="AX147" s="194"/>
      <c r="AY147" s="194"/>
      <c r="AZ147" s="194"/>
      <c r="BA147" s="194"/>
      <c r="BB147" s="194"/>
      <c r="BC147" s="194"/>
      <c r="BD147" s="194"/>
      <c r="BE147" s="194"/>
      <c r="BF147" s="194"/>
      <c r="BG147" s="194"/>
      <c r="BH147" s="194"/>
      <c r="BI147" s="194"/>
      <c r="BJ147" s="195"/>
      <c r="BP147" s="132" t="str">
        <f>IF(AND(AJ147&lt;&gt;0, OR(ISBLANK(AB147),AB147="SELECT")),"Please select the payment mode. ",IF(AND(AJ147&gt;2000, AB147="cash"),"Donations made in excess of ₹ 2000 in cash mode are not allowed for deduction u/s 135. ",""))</f>
        <v/>
      </c>
      <c r="BQ147" s="138"/>
      <c r="BR147" s="138"/>
      <c r="BS147" s="138"/>
      <c r="BT147" s="138"/>
      <c r="BU147" s="138"/>
      <c r="BV147" s="138"/>
      <c r="BW147" s="138"/>
    </row>
    <row r="148" spans="2:75" ht="5.0999999999999996" customHeight="1" x14ac:dyDescent="0.25">
      <c r="B148" s="20"/>
      <c r="BJ148" s="26"/>
    </row>
    <row r="149" spans="2:75" ht="24" customHeight="1" x14ac:dyDescent="0.25">
      <c r="B149" s="20"/>
      <c r="C149" s="214" t="s">
        <v>196</v>
      </c>
      <c r="D149" s="215"/>
      <c r="E149" s="215"/>
      <c r="F149" s="215"/>
      <c r="G149" s="215"/>
      <c r="H149" s="215"/>
      <c r="I149" s="215"/>
      <c r="J149" s="215"/>
      <c r="K149" s="215"/>
      <c r="L149" s="215"/>
      <c r="M149" s="215"/>
      <c r="N149" s="215"/>
      <c r="O149" s="215"/>
      <c r="P149" s="215"/>
      <c r="Q149" s="215"/>
      <c r="R149" s="215"/>
      <c r="S149" s="215"/>
      <c r="T149" s="215"/>
      <c r="U149" s="215"/>
      <c r="V149" s="216"/>
      <c r="W149" s="311" t="s">
        <v>93</v>
      </c>
      <c r="X149" s="312"/>
      <c r="Y149" s="312"/>
      <c r="Z149" s="312"/>
      <c r="AA149" s="313"/>
      <c r="AB149" s="210" t="s">
        <v>43</v>
      </c>
      <c r="AC149" s="211"/>
      <c r="AD149" s="211"/>
      <c r="AE149" s="211"/>
      <c r="AF149" s="211"/>
      <c r="AG149" s="211"/>
      <c r="AH149" s="212"/>
      <c r="AI149" s="76" t="s">
        <v>5</v>
      </c>
      <c r="AJ149" s="213"/>
      <c r="AK149" s="158"/>
      <c r="AL149" s="158"/>
      <c r="AM149" s="158"/>
      <c r="AN149" s="158"/>
      <c r="AO149" s="158"/>
      <c r="AP149" s="158"/>
      <c r="AQ149" s="158"/>
      <c r="AR149" s="158"/>
      <c r="AS149" s="159"/>
      <c r="AT149" s="199"/>
      <c r="AU149" s="199"/>
      <c r="AV149" s="193">
        <f>IF(AB149="Other than Cash",IF(AJ149&lt;=AV72,AJ149,AV72),0)</f>
        <v>0</v>
      </c>
      <c r="AW149" s="194"/>
      <c r="AX149" s="194"/>
      <c r="AY149" s="194"/>
      <c r="AZ149" s="194"/>
      <c r="BA149" s="194"/>
      <c r="BB149" s="194"/>
      <c r="BC149" s="194"/>
      <c r="BD149" s="194"/>
      <c r="BE149" s="194"/>
      <c r="BF149" s="194"/>
      <c r="BG149" s="194"/>
      <c r="BH149" s="194"/>
      <c r="BI149" s="194"/>
      <c r="BJ149" s="195"/>
      <c r="BP149" s="132" t="str">
        <f>IF(AND(AJ149&lt;&gt;0, OR(ISBLANK(AB149),AB149="SELECT")),"Please select the payment mode. ",IF(AND(AJ149&lt;&gt;0, AB149="cash"),"Donation to political parties in cash mode is not allowed for deduction u/s 137. ",""))</f>
        <v/>
      </c>
      <c r="BQ149" s="138"/>
      <c r="BR149" s="138"/>
      <c r="BS149" s="138"/>
      <c r="BT149" s="138"/>
      <c r="BU149" s="138"/>
      <c r="BV149" s="138"/>
      <c r="BW149" s="138"/>
    </row>
    <row r="150" spans="2:75" ht="5.0999999999999996" customHeight="1" x14ac:dyDescent="0.25">
      <c r="B150" s="20"/>
      <c r="BJ150" s="26"/>
      <c r="BP150" s="132" t="str">
        <f>IF(AND(AJ151&lt;&gt;0,SUM(AJ151,AJ153)&gt;AV70),"Please ensure that all the royality income are included as part of any other income in the section ""5. Income from Other Sources u/s 92."" ",IF(AND(AJ151&lt;&gt;0,AV151=300000),"The maximum deduction allowed u/s 151 is ₹ 300,000.",""))</f>
        <v/>
      </c>
      <c r="BQ150" s="174"/>
      <c r="BR150" s="174"/>
      <c r="BS150" s="174"/>
      <c r="BT150" s="174"/>
      <c r="BU150" s="174"/>
      <c r="BV150" s="174"/>
      <c r="BW150" s="174"/>
    </row>
    <row r="151" spans="2:75" s="80" customFormat="1" ht="18" customHeight="1" x14ac:dyDescent="0.3">
      <c r="B151" s="79"/>
      <c r="C151" s="214" t="s">
        <v>197</v>
      </c>
      <c r="D151" s="215"/>
      <c r="E151" s="215"/>
      <c r="F151" s="215"/>
      <c r="G151" s="215"/>
      <c r="H151" s="215"/>
      <c r="I151" s="215"/>
      <c r="J151" s="215"/>
      <c r="K151" s="215"/>
      <c r="L151" s="215"/>
      <c r="M151" s="215"/>
      <c r="N151" s="215"/>
      <c r="O151" s="215"/>
      <c r="P151" s="215"/>
      <c r="Q151" s="215"/>
      <c r="R151" s="215"/>
      <c r="S151" s="215"/>
      <c r="T151" s="215"/>
      <c r="U151" s="215"/>
      <c r="V151" s="215"/>
      <c r="W151" s="215"/>
      <c r="X151" s="215"/>
      <c r="Y151" s="215"/>
      <c r="Z151" s="215"/>
      <c r="AA151" s="215"/>
      <c r="AB151" s="215"/>
      <c r="AC151" s="215"/>
      <c r="AD151" s="215"/>
      <c r="AE151" s="215"/>
      <c r="AF151" s="215"/>
      <c r="AG151" s="215"/>
      <c r="AH151" s="217"/>
      <c r="AI151" s="76" t="s">
        <v>5</v>
      </c>
      <c r="AJ151" s="213"/>
      <c r="AK151" s="158"/>
      <c r="AL151" s="158"/>
      <c r="AM151" s="158"/>
      <c r="AN151" s="158"/>
      <c r="AO151" s="158"/>
      <c r="AP151" s="158"/>
      <c r="AQ151" s="158"/>
      <c r="AR151" s="158"/>
      <c r="AS151" s="159"/>
      <c r="AT151" s="206"/>
      <c r="AU151" s="197"/>
      <c r="AV151" s="193">
        <f>IF(AND(AJ151&lt;&gt;0,SUM(AJ151,AJ153)&lt;=AV70),IF(AJ151&lt;=300000,AJ151,300000),0)</f>
        <v>0</v>
      </c>
      <c r="AW151" s="194"/>
      <c r="AX151" s="194"/>
      <c r="AY151" s="194"/>
      <c r="AZ151" s="194"/>
      <c r="BA151" s="194"/>
      <c r="BB151" s="194"/>
      <c r="BC151" s="194"/>
      <c r="BD151" s="194"/>
      <c r="BE151" s="194"/>
      <c r="BF151" s="194"/>
      <c r="BG151" s="194"/>
      <c r="BH151" s="194"/>
      <c r="BI151" s="194"/>
      <c r="BJ151" s="195"/>
      <c r="BP151" s="174"/>
      <c r="BQ151" s="174"/>
      <c r="BR151" s="174"/>
      <c r="BS151" s="174"/>
      <c r="BT151" s="174"/>
      <c r="BU151" s="174"/>
      <c r="BV151" s="174"/>
      <c r="BW151" s="174"/>
    </row>
    <row r="152" spans="2:75" ht="5.0999999999999996" customHeight="1" x14ac:dyDescent="0.25">
      <c r="B152" s="20"/>
      <c r="BJ152" s="26"/>
      <c r="BP152" s="174"/>
      <c r="BQ152" s="174"/>
      <c r="BR152" s="174"/>
      <c r="BS152" s="174"/>
      <c r="BT152" s="174"/>
      <c r="BU152" s="174"/>
      <c r="BV152" s="174"/>
      <c r="BW152" s="174"/>
    </row>
    <row r="153" spans="2:75" s="80" customFormat="1" ht="18" customHeight="1" x14ac:dyDescent="0.3">
      <c r="B153" s="79"/>
      <c r="C153" s="214" t="s">
        <v>198</v>
      </c>
      <c r="D153" s="215"/>
      <c r="E153" s="215"/>
      <c r="F153" s="215"/>
      <c r="G153" s="215"/>
      <c r="H153" s="215"/>
      <c r="I153" s="215"/>
      <c r="J153" s="215"/>
      <c r="K153" s="215"/>
      <c r="L153" s="215"/>
      <c r="M153" s="215"/>
      <c r="N153" s="215"/>
      <c r="O153" s="215"/>
      <c r="P153" s="215"/>
      <c r="Q153" s="215"/>
      <c r="R153" s="215"/>
      <c r="S153" s="215"/>
      <c r="T153" s="215"/>
      <c r="U153" s="215"/>
      <c r="V153" s="215"/>
      <c r="W153" s="215"/>
      <c r="X153" s="215"/>
      <c r="Y153" s="215"/>
      <c r="Z153" s="215"/>
      <c r="AA153" s="215"/>
      <c r="AB153" s="215"/>
      <c r="AC153" s="215"/>
      <c r="AD153" s="215"/>
      <c r="AE153" s="215"/>
      <c r="AF153" s="215"/>
      <c r="AG153" s="215"/>
      <c r="AH153" s="217"/>
      <c r="AI153" s="76" t="s">
        <v>5</v>
      </c>
      <c r="AJ153" s="213"/>
      <c r="AK153" s="158"/>
      <c r="AL153" s="158"/>
      <c r="AM153" s="158"/>
      <c r="AN153" s="158"/>
      <c r="AO153" s="158"/>
      <c r="AP153" s="158"/>
      <c r="AQ153" s="158"/>
      <c r="AR153" s="158"/>
      <c r="AS153" s="159"/>
      <c r="AT153" s="206"/>
      <c r="AU153" s="197"/>
      <c r="AV153" s="193">
        <f>IF(AND(AJ153&lt;&gt;0,SUM(AJ151,AJ153)&lt;=AV70),IF(AJ153&lt;=300000,AJ153,300000),0)</f>
        <v>0</v>
      </c>
      <c r="AW153" s="194"/>
      <c r="AX153" s="194"/>
      <c r="AY153" s="194"/>
      <c r="AZ153" s="194"/>
      <c r="BA153" s="194"/>
      <c r="BB153" s="194"/>
      <c r="BC153" s="194"/>
      <c r="BD153" s="194"/>
      <c r="BE153" s="194"/>
      <c r="BF153" s="194"/>
      <c r="BG153" s="194"/>
      <c r="BH153" s="194"/>
      <c r="BI153" s="194"/>
      <c r="BJ153" s="195"/>
      <c r="BP153" s="143" t="str">
        <f>IF(AND(AJ153&lt;&gt;0,SUM(AJ151,AJ153)&gt;AV70),"Please ensure that all the royality income are included as part of any other income in the section ""5. Income from Other Sources u/s 92."" ",IF(AND(AJ153&lt;&gt;0,AV153=300000),"The maximum deduction allowed u/s 152 is ₹ 300,000.",""))</f>
        <v/>
      </c>
      <c r="BQ153" s="334"/>
      <c r="BR153" s="334"/>
      <c r="BS153" s="334"/>
      <c r="BT153" s="334"/>
      <c r="BU153" s="334"/>
      <c r="BV153" s="334"/>
      <c r="BW153" s="334"/>
    </row>
    <row r="154" spans="2:75" ht="5.0999999999999996" customHeight="1" x14ac:dyDescent="0.25">
      <c r="B154" s="20"/>
      <c r="BJ154" s="26"/>
      <c r="BP154" s="335"/>
      <c r="BQ154" s="335"/>
      <c r="BR154" s="335"/>
      <c r="BS154" s="335"/>
      <c r="BT154" s="335"/>
      <c r="BU154" s="335"/>
      <c r="BV154" s="335"/>
      <c r="BW154" s="335"/>
    </row>
    <row r="155" spans="2:75" ht="18" customHeight="1" x14ac:dyDescent="0.25">
      <c r="B155" s="20"/>
      <c r="C155" s="214" t="s">
        <v>199</v>
      </c>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5"/>
      <c r="AI155" s="76" t="s">
        <v>5</v>
      </c>
      <c r="AJ155" s="205">
        <f>IF(AV64&lt;&gt;0, AV64,0)</f>
        <v>0</v>
      </c>
      <c r="AK155" s="156"/>
      <c r="AL155" s="156"/>
      <c r="AM155" s="156"/>
      <c r="AN155" s="156"/>
      <c r="AO155" s="156"/>
      <c r="AP155" s="156"/>
      <c r="AQ155" s="156"/>
      <c r="AR155" s="156"/>
      <c r="AS155" s="157"/>
      <c r="AT155" s="199"/>
      <c r="AU155" s="199"/>
      <c r="AV155" s="193">
        <f>IF(AJ155&lt;=10000,AJ155,10000)</f>
        <v>0</v>
      </c>
      <c r="AW155" s="194"/>
      <c r="AX155" s="194"/>
      <c r="AY155" s="194"/>
      <c r="AZ155" s="194"/>
      <c r="BA155" s="194"/>
      <c r="BB155" s="194"/>
      <c r="BC155" s="194"/>
      <c r="BD155" s="194"/>
      <c r="BE155" s="194"/>
      <c r="BF155" s="194"/>
      <c r="BG155" s="194"/>
      <c r="BH155" s="194"/>
      <c r="BI155" s="194"/>
      <c r="BJ155" s="195"/>
      <c r="BP155" s="139" t="str">
        <f>IF(AJ155&gt;10000,"The maximum deduction allowed u/s 153 is ₹ 10,000.","")</f>
        <v/>
      </c>
      <c r="BQ155" s="139"/>
      <c r="BR155" s="139"/>
      <c r="BS155" s="139"/>
      <c r="BT155" s="139"/>
      <c r="BU155" s="139"/>
      <c r="BV155" s="139"/>
      <c r="BW155" s="139"/>
    </row>
    <row r="156" spans="2:75" ht="5.0999999999999996" customHeight="1" x14ac:dyDescent="0.25">
      <c r="B156" s="20"/>
      <c r="BJ156" s="26"/>
    </row>
    <row r="157" spans="2:75" ht="25.5" customHeight="1" x14ac:dyDescent="0.25">
      <c r="B157" s="20"/>
      <c r="C157" s="214" t="s">
        <v>200</v>
      </c>
      <c r="D157" s="215"/>
      <c r="E157" s="215"/>
      <c r="F157" s="215"/>
      <c r="G157" s="215"/>
      <c r="H157" s="215"/>
      <c r="I157" s="215"/>
      <c r="J157" s="215"/>
      <c r="K157" s="215"/>
      <c r="L157" s="215"/>
      <c r="M157" s="215"/>
      <c r="N157" s="215"/>
      <c r="O157" s="215"/>
      <c r="P157" s="215"/>
      <c r="Q157" s="215"/>
      <c r="R157" s="215"/>
      <c r="S157" s="215"/>
      <c r="T157" s="215"/>
      <c r="U157" s="215"/>
      <c r="V157" s="215"/>
      <c r="W157" s="215"/>
      <c r="X157" s="217"/>
      <c r="Y157" s="218" t="s">
        <v>43</v>
      </c>
      <c r="Z157" s="219"/>
      <c r="AA157" s="219"/>
      <c r="AB157" s="219"/>
      <c r="AC157" s="219"/>
      <c r="AD157" s="219"/>
      <c r="AE157" s="219"/>
      <c r="AF157" s="220"/>
      <c r="AG157" s="220"/>
      <c r="AH157" s="221"/>
      <c r="AI157" s="76" t="s">
        <v>5</v>
      </c>
      <c r="AJ157" s="205">
        <f>IF( Y157="Self with Severe Disability", 125000, IF( Y157="Self with Disability", 75000,0))</f>
        <v>0</v>
      </c>
      <c r="AK157" s="156"/>
      <c r="AL157" s="156"/>
      <c r="AM157" s="156"/>
      <c r="AN157" s="156"/>
      <c r="AO157" s="156"/>
      <c r="AP157" s="156"/>
      <c r="AQ157" s="156"/>
      <c r="AR157" s="156"/>
      <c r="AS157" s="157"/>
      <c r="AT157" s="199"/>
      <c r="AU157" s="199"/>
      <c r="AV157" s="193">
        <f>AJ157</f>
        <v>0</v>
      </c>
      <c r="AW157" s="194"/>
      <c r="AX157" s="194"/>
      <c r="AY157" s="194"/>
      <c r="AZ157" s="194"/>
      <c r="BA157" s="194"/>
      <c r="BB157" s="194"/>
      <c r="BC157" s="194"/>
      <c r="BD157" s="194"/>
      <c r="BE157" s="194"/>
      <c r="BF157" s="194"/>
      <c r="BG157" s="194"/>
      <c r="BH157" s="194"/>
      <c r="BI157" s="194"/>
      <c r="BJ157" s="195"/>
      <c r="BP157" s="132" t="str">
        <f>IF(AV157&lt;&gt;0, "Please ensure to submit FORM NO. 10-IA.","")</f>
        <v/>
      </c>
      <c r="BQ157" s="138"/>
      <c r="BR157" s="138"/>
      <c r="BS157" s="138"/>
      <c r="BT157" s="138"/>
      <c r="BU157" s="138"/>
      <c r="BV157" s="138"/>
      <c r="BW157" s="138"/>
    </row>
    <row r="158" spans="2:75" ht="5.0999999999999996" customHeight="1" x14ac:dyDescent="0.25">
      <c r="B158" s="20"/>
      <c r="BJ158" s="26"/>
    </row>
    <row r="159" spans="2:75" ht="15" customHeight="1" x14ac:dyDescent="0.25">
      <c r="B159" s="22"/>
      <c r="C159" s="202" t="s">
        <v>92</v>
      </c>
      <c r="D159" s="203"/>
      <c r="E159" s="203"/>
      <c r="F159" s="203"/>
      <c r="G159" s="203"/>
      <c r="H159" s="203"/>
      <c r="I159" s="203"/>
      <c r="J159" s="203"/>
      <c r="K159" s="203"/>
      <c r="L159" s="203"/>
      <c r="M159" s="203"/>
      <c r="N159" s="203"/>
      <c r="O159" s="203"/>
      <c r="P159" s="203"/>
      <c r="Q159" s="203"/>
      <c r="R159" s="203"/>
      <c r="S159" s="203"/>
      <c r="T159" s="203"/>
      <c r="U159" s="203"/>
      <c r="V159" s="203"/>
      <c r="W159" s="203"/>
      <c r="X159" s="203"/>
      <c r="Y159" s="203"/>
      <c r="Z159" s="203"/>
      <c r="AA159" s="203"/>
      <c r="AB159" s="203"/>
      <c r="AC159" s="203"/>
      <c r="AD159" s="203"/>
      <c r="AE159" s="203"/>
      <c r="AF159" s="203"/>
      <c r="AG159" s="203"/>
      <c r="AH159" s="204"/>
      <c r="AI159" s="76" t="s">
        <v>5</v>
      </c>
      <c r="AJ159" s="205">
        <f>SUM(AJ99,AJ101,AJ103,IF(AJ105&gt;AV105,AJ105,AV105),AJ107,AJ127,AJ129,AJ131,AJ133,AJ135,AJ137,AJ139,AJ141,AJ143,AJ145,AJ147,AJ149,AJ151,AJ153,AJ155,AJ157)</f>
        <v>0</v>
      </c>
      <c r="AK159" s="156"/>
      <c r="AL159" s="156"/>
      <c r="AM159" s="156"/>
      <c r="AN159" s="156"/>
      <c r="AO159" s="156"/>
      <c r="AP159" s="156"/>
      <c r="AQ159" s="156"/>
      <c r="AR159" s="156"/>
      <c r="AS159" s="157"/>
      <c r="AT159" s="199"/>
      <c r="AU159" s="199"/>
      <c r="AV159" s="193">
        <f>SUM(AV99,AV101,AV103,AV105,AV107,AV127,AV129,AV131,AV133,AV135,AV137,AV139,AV141,AV143,AV145,AV147,AV149,AV151,AV153,AV155,AV157)</f>
        <v>0</v>
      </c>
      <c r="AW159" s="194"/>
      <c r="AX159" s="194"/>
      <c r="AY159" s="194"/>
      <c r="AZ159" s="194"/>
      <c r="BA159" s="194"/>
      <c r="BB159" s="194"/>
      <c r="BC159" s="194"/>
      <c r="BD159" s="194"/>
      <c r="BE159" s="194"/>
      <c r="BF159" s="194"/>
      <c r="BG159" s="194"/>
      <c r="BH159" s="194"/>
      <c r="BI159" s="194"/>
      <c r="BJ159" s="195"/>
      <c r="BP159" s="132" t="str">
        <f>IF(AV72&lt;AV159,"Total deductions under chapter VIII cannot exceed Gross Total Income.","")</f>
        <v/>
      </c>
      <c r="BQ159" s="132"/>
      <c r="BR159" s="132"/>
      <c r="BS159" s="132"/>
      <c r="BT159" s="132"/>
      <c r="BU159" s="132"/>
      <c r="BV159" s="132"/>
      <c r="BW159" s="132"/>
    </row>
    <row r="160" spans="2:75" ht="6.9" customHeight="1" x14ac:dyDescent="0.25">
      <c r="B160" s="20"/>
      <c r="BJ160" s="26"/>
      <c r="BP160" s="132" t="str">
        <f>IF(AND(AV161&gt;=5000000, AV161&lt;=10000000),"You need to pay surcharge on the amount of income tax at 10% rate in addition to tax shown below.",IF(AND(AV161&gt;10000000, AV161&lt;=20000000),"You need to pay surcharge on the amount of income tax at 15% rate in addition to tax shown below.",IF(AND(AV161&gt;20000000, AV161&lt;=50000000),"You need to pay surcharge on the amount of income tax at 25% rate in addition to tax shown below.",IF(AV161&gt;50000000,"You need to pay surcharge on the amount of income tax at 37% rate in addition to tax shown below.",""))))</f>
        <v/>
      </c>
      <c r="BQ160" s="132"/>
      <c r="BR160" s="132"/>
      <c r="BS160" s="132"/>
      <c r="BT160" s="132"/>
      <c r="BU160" s="132"/>
      <c r="BV160" s="132"/>
      <c r="BW160" s="132"/>
    </row>
    <row r="161" spans="2:75" ht="18" customHeight="1" x14ac:dyDescent="0.25">
      <c r="B161" s="192" t="s">
        <v>131</v>
      </c>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c r="AM161" s="154"/>
      <c r="AN161" s="154"/>
      <c r="AO161" s="154"/>
      <c r="AP161" s="154"/>
      <c r="AQ161" s="154"/>
      <c r="AR161" s="154"/>
      <c r="AS161" s="154"/>
      <c r="AT161" s="155"/>
      <c r="AU161" s="76" t="s">
        <v>5</v>
      </c>
      <c r="AV161" s="193">
        <f>IF(AV72&gt;AV159,MROUND(ABS(AV72-AV159), 10),0)</f>
        <v>0</v>
      </c>
      <c r="AW161" s="194"/>
      <c r="AX161" s="194"/>
      <c r="AY161" s="194"/>
      <c r="AZ161" s="194"/>
      <c r="BA161" s="194"/>
      <c r="BB161" s="194"/>
      <c r="BC161" s="194"/>
      <c r="BD161" s="194"/>
      <c r="BE161" s="194"/>
      <c r="BF161" s="194"/>
      <c r="BG161" s="194"/>
      <c r="BH161" s="194"/>
      <c r="BI161" s="194"/>
      <c r="BJ161" s="195"/>
      <c r="BP161" s="132"/>
      <c r="BQ161" s="132"/>
      <c r="BR161" s="132"/>
      <c r="BS161" s="132"/>
      <c r="BT161" s="132"/>
      <c r="BU161" s="132"/>
      <c r="BV161" s="132"/>
      <c r="BW161" s="132"/>
    </row>
    <row r="162" spans="2:75" ht="8.1" customHeight="1" x14ac:dyDescent="0.25">
      <c r="P162" s="41" t="s">
        <v>124</v>
      </c>
      <c r="AV162" s="41" t="s">
        <v>208</v>
      </c>
      <c r="BP162" s="132"/>
      <c r="BQ162" s="132"/>
      <c r="BR162" s="132"/>
      <c r="BS162" s="132"/>
      <c r="BT162" s="132"/>
      <c r="BU162" s="132"/>
      <c r="BV162" s="132"/>
      <c r="BW162" s="132"/>
    </row>
    <row r="163" spans="2:75" x14ac:dyDescent="0.25">
      <c r="B163" s="192" t="s">
        <v>97</v>
      </c>
      <c r="C163" s="154"/>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c r="AJ163" s="154"/>
      <c r="AK163" s="154"/>
      <c r="AL163" s="154"/>
      <c r="AM163" s="154"/>
      <c r="AN163" s="154"/>
      <c r="AO163" s="154"/>
      <c r="AP163" s="154"/>
      <c r="AQ163" s="154"/>
      <c r="AR163" s="154"/>
      <c r="AS163" s="154"/>
      <c r="AT163" s="154"/>
      <c r="AU163" s="154"/>
      <c r="AV163" s="154"/>
      <c r="AW163" s="154"/>
      <c r="AX163" s="154"/>
      <c r="AY163" s="154"/>
      <c r="AZ163" s="154"/>
      <c r="BA163" s="154"/>
      <c r="BB163" s="154"/>
      <c r="BC163" s="154"/>
      <c r="BD163" s="154"/>
      <c r="BE163" s="154"/>
      <c r="BF163" s="154"/>
      <c r="BG163" s="154"/>
      <c r="BH163" s="154"/>
      <c r="BI163" s="154"/>
      <c r="BJ163" s="155"/>
    </row>
    <row r="164" spans="2:75" ht="5.25" customHeight="1" x14ac:dyDescent="0.25">
      <c r="B164" s="20"/>
      <c r="BJ164" s="26"/>
    </row>
    <row r="165" spans="2:75" x14ac:dyDescent="0.25">
      <c r="B165" s="20"/>
      <c r="C165" s="201" t="s">
        <v>96</v>
      </c>
      <c r="D165" s="201"/>
      <c r="E165" s="201"/>
      <c r="F165" s="201"/>
      <c r="G165" s="201"/>
      <c r="H165" s="201"/>
      <c r="I165" s="201"/>
      <c r="J165" s="201"/>
      <c r="K165" s="201"/>
      <c r="L165" s="201"/>
      <c r="M165" s="201"/>
      <c r="N165" s="201"/>
      <c r="O165" s="201"/>
      <c r="P165" s="201"/>
      <c r="Q165" s="201"/>
      <c r="R165" s="201"/>
      <c r="S165" s="201"/>
      <c r="T165" s="201"/>
      <c r="U165" s="201"/>
      <c r="V165" s="201"/>
      <c r="W165" s="201"/>
      <c r="X165" s="201"/>
      <c r="Y165" s="201"/>
      <c r="Z165" s="201"/>
      <c r="AA165" s="201"/>
      <c r="AB165" s="201"/>
      <c r="AC165" s="201"/>
      <c r="AD165" s="201"/>
      <c r="AE165" s="201"/>
      <c r="AF165" s="201"/>
      <c r="AG165" s="201"/>
      <c r="AH165" s="201"/>
      <c r="AI165" s="201"/>
      <c r="AJ165" s="201"/>
      <c r="AK165" s="201"/>
      <c r="AL165" s="201"/>
      <c r="AM165" s="201"/>
      <c r="AN165" s="201"/>
      <c r="AO165" s="201"/>
      <c r="AP165" s="201"/>
      <c r="AQ165" s="201"/>
      <c r="AR165" s="201"/>
      <c r="AS165" s="201"/>
      <c r="AT165" s="201"/>
      <c r="AU165" s="76" t="s">
        <v>5</v>
      </c>
      <c r="AV165" s="200">
        <f>ROUND(IF(AV161&lt;= 250000,0, IF(AND(AV161&gt; 250000,AV161&lt;= 500000),ABS(AV161- 250000)*0.05, IF(AND(AV161&gt; 500000,AV161&lt;= 1000000),12500+ ABS(AV161- 500000)*0.2, IF(AV161&gt; 1000000, 112500+ABS(AV161- 1000000)*0.3,0)))),0)</f>
        <v>0</v>
      </c>
      <c r="AW165" s="200"/>
      <c r="AX165" s="200"/>
      <c r="AY165" s="200"/>
      <c r="AZ165" s="200"/>
      <c r="BA165" s="200"/>
      <c r="BB165" s="200"/>
      <c r="BC165" s="200"/>
      <c r="BD165" s="200"/>
      <c r="BE165" s="200"/>
      <c r="BF165" s="200"/>
      <c r="BG165" s="200"/>
      <c r="BH165" s="200"/>
      <c r="BI165" s="200"/>
      <c r="BJ165" s="200"/>
    </row>
    <row r="166" spans="2:75" ht="5.25" customHeight="1" x14ac:dyDescent="0.25">
      <c r="B166" s="20"/>
      <c r="BJ166" s="26"/>
    </row>
    <row r="167" spans="2:75" x14ac:dyDescent="0.25">
      <c r="B167" s="20"/>
      <c r="C167" s="201" t="s">
        <v>201</v>
      </c>
      <c r="D167" s="201"/>
      <c r="E167" s="201"/>
      <c r="F167" s="201"/>
      <c r="G167" s="201"/>
      <c r="H167" s="201"/>
      <c r="I167" s="201"/>
      <c r="J167" s="201"/>
      <c r="K167" s="201"/>
      <c r="L167" s="201"/>
      <c r="M167" s="201"/>
      <c r="N167" s="201"/>
      <c r="O167" s="201"/>
      <c r="P167" s="201"/>
      <c r="Q167" s="201"/>
      <c r="R167" s="201"/>
      <c r="S167" s="201"/>
      <c r="T167" s="201"/>
      <c r="U167" s="201"/>
      <c r="V167" s="201"/>
      <c r="W167" s="201"/>
      <c r="X167" s="201"/>
      <c r="Y167" s="201"/>
      <c r="Z167" s="201"/>
      <c r="AA167" s="201"/>
      <c r="AB167" s="201"/>
      <c r="AC167" s="201"/>
      <c r="AD167" s="201"/>
      <c r="AE167" s="201"/>
      <c r="AF167" s="201"/>
      <c r="AG167" s="201"/>
      <c r="AH167" s="201"/>
      <c r="AI167" s="201"/>
      <c r="AJ167" s="201"/>
      <c r="AK167" s="201"/>
      <c r="AL167" s="201"/>
      <c r="AM167" s="201"/>
      <c r="AN167" s="201"/>
      <c r="AO167" s="201"/>
      <c r="AP167" s="201"/>
      <c r="AQ167" s="201"/>
      <c r="AR167" s="201"/>
      <c r="AS167" s="201"/>
      <c r="AT167" s="201"/>
      <c r="AU167" s="76" t="s">
        <v>5</v>
      </c>
      <c r="AV167" s="200">
        <f>IF(AND(AV161&lt;=500000, AV161&lt;&gt;0),IF(AV165&lt;=12500,AV165,12500),0)</f>
        <v>0</v>
      </c>
      <c r="AW167" s="200"/>
      <c r="AX167" s="200"/>
      <c r="AY167" s="200"/>
      <c r="AZ167" s="200"/>
      <c r="BA167" s="200"/>
      <c r="BB167" s="200"/>
      <c r="BC167" s="200"/>
      <c r="BD167" s="200"/>
      <c r="BE167" s="200"/>
      <c r="BF167" s="200"/>
      <c r="BG167" s="200"/>
      <c r="BH167" s="200"/>
      <c r="BI167" s="200"/>
      <c r="BJ167" s="200"/>
    </row>
    <row r="168" spans="2:75" ht="5.25" customHeight="1" x14ac:dyDescent="0.25">
      <c r="B168" s="20"/>
      <c r="BJ168" s="26"/>
    </row>
    <row r="169" spans="2:75" x14ac:dyDescent="0.25">
      <c r="B169" s="20"/>
      <c r="C169" s="201" t="s">
        <v>132</v>
      </c>
      <c r="D169" s="201"/>
      <c r="E169" s="201"/>
      <c r="F169" s="201"/>
      <c r="G169" s="201"/>
      <c r="H169" s="201"/>
      <c r="I169" s="201"/>
      <c r="J169" s="201"/>
      <c r="K169" s="201"/>
      <c r="L169" s="201"/>
      <c r="M169" s="201"/>
      <c r="N169" s="201"/>
      <c r="O169" s="201"/>
      <c r="P169" s="201"/>
      <c r="Q169" s="201"/>
      <c r="R169" s="201"/>
      <c r="S169" s="201"/>
      <c r="T169" s="201"/>
      <c r="U169" s="201"/>
      <c r="V169" s="201"/>
      <c r="W169" s="201"/>
      <c r="X169" s="201"/>
      <c r="Y169" s="201"/>
      <c r="Z169" s="201"/>
      <c r="AA169" s="201"/>
      <c r="AB169" s="201"/>
      <c r="AC169" s="201"/>
      <c r="AD169" s="201"/>
      <c r="AE169" s="201"/>
      <c r="AF169" s="201"/>
      <c r="AG169" s="201"/>
      <c r="AH169" s="201"/>
      <c r="AI169" s="201"/>
      <c r="AJ169" s="201"/>
      <c r="AK169" s="201"/>
      <c r="AL169" s="201"/>
      <c r="AM169" s="201"/>
      <c r="AN169" s="201"/>
      <c r="AO169" s="201"/>
      <c r="AP169" s="201"/>
      <c r="AQ169" s="201"/>
      <c r="AR169" s="201"/>
      <c r="AS169" s="201"/>
      <c r="AT169" s="201"/>
      <c r="AU169" s="76" t="s">
        <v>5</v>
      </c>
      <c r="AV169" s="200">
        <f>IF((AV165&lt;AV167),0,ROUND(ABS(AV165-AV167),0))</f>
        <v>0</v>
      </c>
      <c r="AW169" s="200"/>
      <c r="AX169" s="200"/>
      <c r="AY169" s="200"/>
      <c r="AZ169" s="200"/>
      <c r="BA169" s="200"/>
      <c r="BB169" s="200"/>
      <c r="BC169" s="200"/>
      <c r="BD169" s="200"/>
      <c r="BE169" s="200"/>
      <c r="BF169" s="200"/>
      <c r="BG169" s="200"/>
      <c r="BH169" s="200"/>
      <c r="BI169" s="200"/>
      <c r="BJ169" s="200"/>
    </row>
    <row r="170" spans="2:75" ht="5.25" customHeight="1" x14ac:dyDescent="0.25">
      <c r="B170" s="20"/>
      <c r="BJ170" s="26"/>
    </row>
    <row r="171" spans="2:75" x14ac:dyDescent="0.25">
      <c r="B171" s="20"/>
      <c r="C171" s="201" t="s">
        <v>111</v>
      </c>
      <c r="D171" s="201"/>
      <c r="E171" s="201"/>
      <c r="F171" s="201"/>
      <c r="G171" s="201"/>
      <c r="H171" s="201"/>
      <c r="I171" s="201"/>
      <c r="J171" s="201"/>
      <c r="K171" s="201"/>
      <c r="L171" s="201"/>
      <c r="M171" s="201"/>
      <c r="N171" s="201"/>
      <c r="O171" s="201"/>
      <c r="P171" s="201"/>
      <c r="Q171" s="201"/>
      <c r="R171" s="201"/>
      <c r="S171" s="201"/>
      <c r="T171" s="201"/>
      <c r="U171" s="201"/>
      <c r="V171" s="201"/>
      <c r="W171" s="201"/>
      <c r="X171" s="201"/>
      <c r="Y171" s="201"/>
      <c r="Z171" s="201"/>
      <c r="AA171" s="201"/>
      <c r="AB171" s="201"/>
      <c r="AC171" s="201"/>
      <c r="AD171" s="201"/>
      <c r="AE171" s="201"/>
      <c r="AF171" s="201"/>
      <c r="AG171" s="201"/>
      <c r="AH171" s="201"/>
      <c r="AI171" s="201"/>
      <c r="AJ171" s="201"/>
      <c r="AK171" s="201"/>
      <c r="AL171" s="201"/>
      <c r="AM171" s="201"/>
      <c r="AN171" s="201"/>
      <c r="AO171" s="201"/>
      <c r="AP171" s="201"/>
      <c r="AQ171" s="201"/>
      <c r="AR171" s="201"/>
      <c r="AS171" s="201"/>
      <c r="AT171" s="201"/>
      <c r="AU171" s="76" t="s">
        <v>5</v>
      </c>
      <c r="AV171" s="200">
        <f>IF(AV169&lt;&gt;0,ROUND(AV169*0.04,0),0)</f>
        <v>0</v>
      </c>
      <c r="AW171" s="200"/>
      <c r="AX171" s="200"/>
      <c r="AY171" s="200"/>
      <c r="AZ171" s="200"/>
      <c r="BA171" s="200"/>
      <c r="BB171" s="200"/>
      <c r="BC171" s="200"/>
      <c r="BD171" s="200"/>
      <c r="BE171" s="200"/>
      <c r="BF171" s="200"/>
      <c r="BG171" s="200"/>
      <c r="BH171" s="200"/>
      <c r="BI171" s="200"/>
      <c r="BJ171" s="200"/>
    </row>
    <row r="172" spans="2:75" ht="5.25" customHeight="1" x14ac:dyDescent="0.25">
      <c r="B172" s="20"/>
      <c r="BJ172" s="26"/>
    </row>
    <row r="173" spans="2:75" x14ac:dyDescent="0.25">
      <c r="B173" s="20"/>
      <c r="C173" s="201" t="s">
        <v>206</v>
      </c>
      <c r="D173" s="201"/>
      <c r="E173" s="201"/>
      <c r="F173" s="201"/>
      <c r="G173" s="201"/>
      <c r="H173" s="201"/>
      <c r="I173" s="201"/>
      <c r="J173" s="201"/>
      <c r="K173" s="201"/>
      <c r="L173" s="201"/>
      <c r="M173" s="201"/>
      <c r="N173" s="201"/>
      <c r="O173" s="201"/>
      <c r="P173" s="201"/>
      <c r="Q173" s="201"/>
      <c r="R173" s="201"/>
      <c r="S173" s="201"/>
      <c r="T173" s="201"/>
      <c r="U173" s="201"/>
      <c r="V173" s="201"/>
      <c r="W173" s="201"/>
      <c r="X173" s="201"/>
      <c r="Y173" s="201"/>
      <c r="Z173" s="201"/>
      <c r="AA173" s="201"/>
      <c r="AB173" s="201"/>
      <c r="AC173" s="201"/>
      <c r="AD173" s="201"/>
      <c r="AE173" s="201"/>
      <c r="AF173" s="201"/>
      <c r="AG173" s="201"/>
      <c r="AH173" s="201"/>
      <c r="AI173" s="201"/>
      <c r="AJ173" s="201"/>
      <c r="AK173" s="201"/>
      <c r="AL173" s="201"/>
      <c r="AM173" s="201"/>
      <c r="AN173" s="201"/>
      <c r="AO173" s="201"/>
      <c r="AP173" s="201"/>
      <c r="AQ173" s="201"/>
      <c r="AR173" s="201"/>
      <c r="AS173" s="201"/>
      <c r="AT173" s="201"/>
      <c r="AU173" s="76" t="s">
        <v>5</v>
      </c>
      <c r="AV173" s="200">
        <f>AV169+AV171</f>
        <v>0</v>
      </c>
      <c r="AW173" s="200"/>
      <c r="AX173" s="200"/>
      <c r="AY173" s="200"/>
      <c r="AZ173" s="200"/>
      <c r="BA173" s="200"/>
      <c r="BB173" s="200"/>
      <c r="BC173" s="200"/>
      <c r="BD173" s="200"/>
      <c r="BE173" s="200"/>
      <c r="BF173" s="200"/>
      <c r="BG173" s="200"/>
      <c r="BH173" s="200"/>
      <c r="BI173" s="200"/>
      <c r="BJ173" s="200"/>
    </row>
    <row r="174" spans="2:75" ht="5.25" customHeight="1" x14ac:dyDescent="0.25">
      <c r="B174" s="20"/>
      <c r="BJ174" s="26"/>
    </row>
    <row r="175" spans="2:75" x14ac:dyDescent="0.25">
      <c r="B175" s="20"/>
      <c r="C175" s="201" t="s">
        <v>202</v>
      </c>
      <c r="D175" s="201"/>
      <c r="E175" s="201"/>
      <c r="F175" s="201"/>
      <c r="G175" s="201"/>
      <c r="H175" s="201"/>
      <c r="I175" s="201"/>
      <c r="J175" s="201"/>
      <c r="K175" s="201"/>
      <c r="L175" s="201"/>
      <c r="M175" s="201"/>
      <c r="N175" s="201"/>
      <c r="O175" s="201"/>
      <c r="P175" s="201"/>
      <c r="Q175" s="201"/>
      <c r="R175" s="201"/>
      <c r="S175" s="201"/>
      <c r="T175" s="201"/>
      <c r="U175" s="201"/>
      <c r="V175" s="201"/>
      <c r="W175" s="201"/>
      <c r="X175" s="201"/>
      <c r="Y175" s="201"/>
      <c r="Z175" s="201"/>
      <c r="AA175" s="201"/>
      <c r="AB175" s="201"/>
      <c r="AC175" s="201"/>
      <c r="AD175" s="201"/>
      <c r="AE175" s="201"/>
      <c r="AF175" s="201"/>
      <c r="AG175" s="201"/>
      <c r="AH175" s="201"/>
      <c r="AI175" s="201"/>
      <c r="AJ175" s="201"/>
      <c r="AK175" s="201"/>
      <c r="AL175" s="201"/>
      <c r="AM175" s="201"/>
      <c r="AN175" s="201"/>
      <c r="AO175" s="201"/>
      <c r="AP175" s="201"/>
      <c r="AQ175" s="201"/>
      <c r="AR175" s="201"/>
      <c r="AS175" s="201"/>
      <c r="AT175" s="201"/>
      <c r="AU175" s="76" t="s">
        <v>5</v>
      </c>
      <c r="AV175" s="200">
        <f>IF(ISNUMBER('Form 10E - Old Scheme'!AF79),'Form 10E - Old Scheme'!AF79,0)</f>
        <v>0</v>
      </c>
      <c r="AW175" s="200"/>
      <c r="AX175" s="200"/>
      <c r="AY175" s="200"/>
      <c r="AZ175" s="200"/>
      <c r="BA175" s="200"/>
      <c r="BB175" s="200"/>
      <c r="BC175" s="200"/>
      <c r="BD175" s="200"/>
      <c r="BE175" s="200"/>
      <c r="BF175" s="200"/>
      <c r="BG175" s="200"/>
      <c r="BH175" s="200"/>
      <c r="BI175" s="200"/>
      <c r="BJ175" s="200"/>
    </row>
    <row r="176" spans="2:75" ht="5.25" customHeight="1" x14ac:dyDescent="0.25">
      <c r="B176" s="20"/>
      <c r="BJ176" s="26"/>
    </row>
    <row r="177" spans="2:71" x14ac:dyDescent="0.25">
      <c r="B177" s="207" t="str">
        <f>IF(AV175&gt;AV173, "10. Refund (f - e) u/s 431  ",   "10. Balance Tax After Relief / Amount Payable  (e - f)  ")</f>
        <v xml:space="preserve">10. Balance Tax After Relief / Amount Payable  (e - f)  </v>
      </c>
      <c r="C177" s="201"/>
      <c r="D177" s="201"/>
      <c r="E177" s="201"/>
      <c r="F177" s="201"/>
      <c r="G177" s="201"/>
      <c r="H177" s="201"/>
      <c r="I177" s="201"/>
      <c r="J177" s="201"/>
      <c r="K177" s="201"/>
      <c r="L177" s="201"/>
      <c r="M177" s="201"/>
      <c r="N177" s="201"/>
      <c r="O177" s="201"/>
      <c r="P177" s="201"/>
      <c r="Q177" s="201"/>
      <c r="R177" s="201"/>
      <c r="S177" s="201"/>
      <c r="T177" s="201"/>
      <c r="U177" s="201"/>
      <c r="V177" s="201"/>
      <c r="W177" s="201"/>
      <c r="X177" s="201"/>
      <c r="Y177" s="201"/>
      <c r="Z177" s="201"/>
      <c r="AA177" s="201"/>
      <c r="AB177" s="201"/>
      <c r="AC177" s="201"/>
      <c r="AD177" s="201"/>
      <c r="AE177" s="201"/>
      <c r="AF177" s="201"/>
      <c r="AG177" s="201"/>
      <c r="AH177" s="201"/>
      <c r="AI177" s="201"/>
      <c r="AJ177" s="201"/>
      <c r="AK177" s="201"/>
      <c r="AL177" s="201"/>
      <c r="AM177" s="201"/>
      <c r="AN177" s="201"/>
      <c r="AO177" s="201"/>
      <c r="AP177" s="201"/>
      <c r="AQ177" s="201"/>
      <c r="AR177" s="201"/>
      <c r="AS177" s="201"/>
      <c r="AT177" s="201"/>
      <c r="AU177" s="76" t="s">
        <v>5</v>
      </c>
      <c r="AV177" s="200" t="str">
        <f>IF(AV173&lt;&gt;AV175,MROUND(ABS(AV173-AV175),10),"NIL")</f>
        <v>NIL</v>
      </c>
      <c r="AW177" s="200"/>
      <c r="AX177" s="200"/>
      <c r="AY177" s="200"/>
      <c r="AZ177" s="200"/>
      <c r="BA177" s="200"/>
      <c r="BB177" s="200"/>
      <c r="BC177" s="200"/>
      <c r="BD177" s="200"/>
      <c r="BE177" s="200"/>
      <c r="BF177" s="200"/>
      <c r="BG177" s="200"/>
      <c r="BH177" s="200"/>
      <c r="BI177" s="200"/>
      <c r="BJ177" s="200"/>
      <c r="BR177" s="12" t="s">
        <v>118</v>
      </c>
      <c r="BS177" s="27"/>
    </row>
    <row r="178" spans="2:71" ht="6.9" customHeight="1" x14ac:dyDescent="0.25"/>
    <row r="179" spans="2:71" x14ac:dyDescent="0.25">
      <c r="B179" s="133" t="s">
        <v>203</v>
      </c>
      <c r="C179" s="208"/>
      <c r="D179" s="208"/>
      <c r="E179" s="208"/>
      <c r="F179" s="208"/>
      <c r="G179" s="208"/>
      <c r="H179" s="208"/>
      <c r="I179" s="208"/>
      <c r="J179" s="208"/>
      <c r="K179" s="208"/>
      <c r="L179" s="208"/>
      <c r="M179" s="208"/>
      <c r="N179" s="208"/>
      <c r="O179" s="208"/>
      <c r="P179" s="208"/>
      <c r="Q179" s="208"/>
      <c r="R179" s="208"/>
      <c r="S179" s="208"/>
      <c r="T179" s="208"/>
      <c r="U179" s="208"/>
      <c r="V179" s="208"/>
      <c r="W179" s="208"/>
      <c r="X179" s="208"/>
      <c r="Y179" s="208"/>
      <c r="Z179" s="208"/>
      <c r="AA179" s="208"/>
      <c r="AB179" s="208"/>
      <c r="AC179" s="208"/>
      <c r="AD179" s="208"/>
      <c r="AE179" s="208"/>
      <c r="AF179" s="208"/>
      <c r="AG179" s="208"/>
      <c r="AH179" s="208"/>
      <c r="AI179" s="208"/>
      <c r="AJ179" s="208"/>
      <c r="AK179" s="208"/>
      <c r="AL179" s="208"/>
      <c r="AM179" s="208"/>
      <c r="AN179" s="208"/>
      <c r="AO179" s="208"/>
      <c r="AP179" s="208"/>
      <c r="AQ179" s="208"/>
      <c r="AR179" s="208"/>
      <c r="AS179" s="208"/>
      <c r="AT179" s="208"/>
      <c r="AU179" s="208"/>
      <c r="AV179" s="208"/>
      <c r="AW179" s="208"/>
      <c r="AX179" s="208"/>
      <c r="AY179" s="208"/>
      <c r="AZ179" s="208"/>
      <c r="BA179" s="208"/>
      <c r="BB179" s="208"/>
      <c r="BC179" s="208"/>
      <c r="BD179" s="208"/>
      <c r="BE179" s="208"/>
      <c r="BF179" s="208"/>
      <c r="BG179" s="208"/>
      <c r="BH179" s="208"/>
      <c r="BI179" s="208"/>
      <c r="BJ179" s="209"/>
    </row>
    <row r="180" spans="2:71" ht="4.5" customHeight="1" x14ac:dyDescent="0.25">
      <c r="B180" s="20"/>
      <c r="BJ180" s="26"/>
    </row>
    <row r="181" spans="2:71" x14ac:dyDescent="0.25">
      <c r="B181" s="20"/>
      <c r="C181" s="198" t="s">
        <v>0</v>
      </c>
      <c r="D181" s="198"/>
      <c r="E181" s="198"/>
      <c r="F181" s="198"/>
      <c r="G181" s="198"/>
      <c r="H181" s="198"/>
      <c r="I181" s="198"/>
      <c r="J181" s="198"/>
      <c r="K181" s="198"/>
      <c r="L181" s="198"/>
      <c r="M181" s="198"/>
      <c r="N181" s="198"/>
      <c r="O181" s="198" t="s">
        <v>98</v>
      </c>
      <c r="P181" s="198"/>
      <c r="Q181" s="198"/>
      <c r="R181" s="198"/>
      <c r="S181" s="198"/>
      <c r="T181" s="198"/>
      <c r="U181" s="198"/>
      <c r="V181" s="198"/>
      <c r="W181" s="198" t="s">
        <v>0</v>
      </c>
      <c r="X181" s="198"/>
      <c r="Y181" s="198"/>
      <c r="Z181" s="198"/>
      <c r="AA181" s="198"/>
      <c r="AB181" s="198"/>
      <c r="AC181" s="198"/>
      <c r="AD181" s="198"/>
      <c r="AE181" s="198"/>
      <c r="AF181" s="198"/>
      <c r="AG181" s="198"/>
      <c r="AH181" s="198"/>
      <c r="AI181" s="198" t="s">
        <v>98</v>
      </c>
      <c r="AJ181" s="198"/>
      <c r="AK181" s="198"/>
      <c r="AL181" s="198"/>
      <c r="AM181" s="198"/>
      <c r="AN181" s="198"/>
      <c r="AO181" s="198"/>
      <c r="AP181" s="198"/>
      <c r="AQ181" s="198" t="s">
        <v>0</v>
      </c>
      <c r="AR181" s="198"/>
      <c r="AS181" s="198"/>
      <c r="AT181" s="198"/>
      <c r="AU181" s="198"/>
      <c r="AV181" s="198"/>
      <c r="AW181" s="198"/>
      <c r="AX181" s="198"/>
      <c r="AY181" s="198"/>
      <c r="AZ181" s="198"/>
      <c r="BA181" s="198"/>
      <c r="BB181" s="198"/>
      <c r="BC181" s="198" t="s">
        <v>98</v>
      </c>
      <c r="BD181" s="198"/>
      <c r="BE181" s="198"/>
      <c r="BF181" s="198"/>
      <c r="BG181" s="198"/>
      <c r="BH181" s="198"/>
      <c r="BI181" s="198"/>
      <c r="BJ181" s="198"/>
      <c r="BP181" s="41">
        <f>SUM(O182,O183,O184,O185,O186,AI182,AI183,AI184,AI185,AI186,BC182,BC184,BC185)</f>
        <v>0</v>
      </c>
      <c r="BQ181" s="41">
        <f>IF(AND(SIGN(AV175-AV173)&lt;&gt;1,ISNUMBER(AV177)),IF(SIGN(BP181-AV177)&lt;&gt;1,ABS(BP181-AV177),0),0)</f>
        <v>0</v>
      </c>
      <c r="BR181" s="41">
        <f>IF(ISNUMBER(BQ181),MROUND(BQ181/3,100),0)</f>
        <v>0</v>
      </c>
    </row>
    <row r="182" spans="2:71" x14ac:dyDescent="0.25">
      <c r="B182" s="20"/>
      <c r="C182" s="153" t="s">
        <v>28</v>
      </c>
      <c r="D182" s="188"/>
      <c r="E182" s="188"/>
      <c r="F182" s="188"/>
      <c r="G182" s="188"/>
      <c r="H182" s="188"/>
      <c r="I182" s="188"/>
      <c r="J182" s="188"/>
      <c r="K182" s="154">
        <v>2025</v>
      </c>
      <c r="L182" s="154"/>
      <c r="M182" s="154"/>
      <c r="N182" s="155"/>
      <c r="O182" s="158"/>
      <c r="P182" s="158"/>
      <c r="Q182" s="158"/>
      <c r="R182" s="158"/>
      <c r="S182" s="158"/>
      <c r="T182" s="158"/>
      <c r="U182" s="158"/>
      <c r="V182" s="159"/>
      <c r="W182" s="153" t="s">
        <v>33</v>
      </c>
      <c r="X182" s="188"/>
      <c r="Y182" s="188"/>
      <c r="Z182" s="188"/>
      <c r="AA182" s="188"/>
      <c r="AB182" s="188"/>
      <c r="AC182" s="188"/>
      <c r="AD182" s="188"/>
      <c r="AE182" s="154">
        <v>2025</v>
      </c>
      <c r="AF182" s="154"/>
      <c r="AG182" s="154"/>
      <c r="AH182" s="155"/>
      <c r="AI182" s="158"/>
      <c r="AJ182" s="158"/>
      <c r="AK182" s="158"/>
      <c r="AL182" s="158"/>
      <c r="AM182" s="158"/>
      <c r="AN182" s="158"/>
      <c r="AO182" s="158"/>
      <c r="AP182" s="159"/>
      <c r="AQ182" s="152" t="s">
        <v>26</v>
      </c>
      <c r="AR182" s="152"/>
      <c r="AS182" s="152"/>
      <c r="AT182" s="152"/>
      <c r="AU182" s="152"/>
      <c r="AV182" s="152"/>
      <c r="AW182" s="152"/>
      <c r="AX182" s="153"/>
      <c r="AY182" s="154">
        <v>2026</v>
      </c>
      <c r="AZ182" s="154"/>
      <c r="BA182" s="154"/>
      <c r="BB182" s="155"/>
      <c r="BC182" s="158"/>
      <c r="BD182" s="158"/>
      <c r="BE182" s="158"/>
      <c r="BF182" s="158"/>
      <c r="BG182" s="158"/>
      <c r="BH182" s="158"/>
      <c r="BI182" s="158"/>
      <c r="BJ182" s="159"/>
    </row>
    <row r="183" spans="2:71" x14ac:dyDescent="0.25">
      <c r="B183" s="20"/>
      <c r="C183" s="153" t="s">
        <v>29</v>
      </c>
      <c r="D183" s="188"/>
      <c r="E183" s="188"/>
      <c r="F183" s="188"/>
      <c r="G183" s="188"/>
      <c r="H183" s="188"/>
      <c r="I183" s="188"/>
      <c r="J183" s="188"/>
      <c r="K183" s="154">
        <v>2025</v>
      </c>
      <c r="L183" s="154"/>
      <c r="M183" s="154"/>
      <c r="N183" s="155"/>
      <c r="O183" s="158"/>
      <c r="P183" s="158"/>
      <c r="Q183" s="158"/>
      <c r="R183" s="158"/>
      <c r="S183" s="158"/>
      <c r="T183" s="158"/>
      <c r="U183" s="158"/>
      <c r="V183" s="159"/>
      <c r="W183" s="153" t="s">
        <v>24</v>
      </c>
      <c r="X183" s="188"/>
      <c r="Y183" s="188"/>
      <c r="Z183" s="188"/>
      <c r="AA183" s="188"/>
      <c r="AB183" s="188"/>
      <c r="AC183" s="188"/>
      <c r="AD183" s="188"/>
      <c r="AE183" s="154">
        <v>2025</v>
      </c>
      <c r="AF183" s="154"/>
      <c r="AG183" s="154"/>
      <c r="AH183" s="155"/>
      <c r="AI183" s="158"/>
      <c r="AJ183" s="158"/>
      <c r="AK183" s="158"/>
      <c r="AL183" s="158"/>
      <c r="AM183" s="158"/>
      <c r="AN183" s="158"/>
      <c r="AO183" s="158"/>
      <c r="AP183" s="159"/>
      <c r="AQ183" s="152" t="s">
        <v>25</v>
      </c>
      <c r="AR183" s="152"/>
      <c r="AS183" s="152"/>
      <c r="AT183" s="152"/>
      <c r="AU183" s="152"/>
      <c r="AV183" s="152"/>
      <c r="AW183" s="152"/>
      <c r="AX183" s="153"/>
      <c r="AY183" s="154">
        <v>2026</v>
      </c>
      <c r="AZ183" s="154"/>
      <c r="BA183" s="154"/>
      <c r="BB183" s="155"/>
      <c r="BC183" s="156">
        <f>IF(AND(ISNUMBER(AV177),ISNUMBER(BQ181)),IF(AND(SIGN(AV175-AV173)=-1,SIGN(BP181-AV177)&lt;&gt;1),ROUND(ABS(AV177-SUM(O182:V186,AI182:AP186,BC182,BC184:BJ185)),0),0),0)</f>
        <v>0</v>
      </c>
      <c r="BD183" s="156"/>
      <c r="BE183" s="156"/>
      <c r="BF183" s="156"/>
      <c r="BG183" s="156"/>
      <c r="BH183" s="156"/>
      <c r="BI183" s="156"/>
      <c r="BJ183" s="157"/>
      <c r="BQ183" s="44"/>
    </row>
    <row r="184" spans="2:71" x14ac:dyDescent="0.25">
      <c r="B184" s="20"/>
      <c r="C184" s="153" t="s">
        <v>30</v>
      </c>
      <c r="D184" s="188"/>
      <c r="E184" s="188"/>
      <c r="F184" s="188"/>
      <c r="G184" s="188"/>
      <c r="H184" s="188"/>
      <c r="I184" s="188"/>
      <c r="J184" s="188"/>
      <c r="K184" s="154">
        <v>2025</v>
      </c>
      <c r="L184" s="154"/>
      <c r="M184" s="154"/>
      <c r="N184" s="155"/>
      <c r="O184" s="158"/>
      <c r="P184" s="158"/>
      <c r="Q184" s="158"/>
      <c r="R184" s="158"/>
      <c r="S184" s="158"/>
      <c r="T184" s="158"/>
      <c r="U184" s="158"/>
      <c r="V184" s="159"/>
      <c r="W184" s="153" t="s">
        <v>34</v>
      </c>
      <c r="X184" s="188"/>
      <c r="Y184" s="188"/>
      <c r="Z184" s="188"/>
      <c r="AA184" s="188"/>
      <c r="AB184" s="188"/>
      <c r="AC184" s="188"/>
      <c r="AD184" s="188"/>
      <c r="AE184" s="154">
        <v>2025</v>
      </c>
      <c r="AF184" s="154"/>
      <c r="AG184" s="154"/>
      <c r="AH184" s="155"/>
      <c r="AI184" s="158"/>
      <c r="AJ184" s="158"/>
      <c r="AK184" s="158"/>
      <c r="AL184" s="158"/>
      <c r="AM184" s="158"/>
      <c r="AN184" s="158"/>
      <c r="AO184" s="158"/>
      <c r="AP184" s="159"/>
      <c r="AQ184" s="189" t="s">
        <v>119</v>
      </c>
      <c r="AR184" s="190"/>
      <c r="AS184" s="190"/>
      <c r="AT184" s="190"/>
      <c r="AU184" s="190"/>
      <c r="AV184" s="190"/>
      <c r="AW184" s="190"/>
      <c r="AX184" s="190"/>
      <c r="AY184" s="190"/>
      <c r="AZ184" s="190"/>
      <c r="BA184" s="190"/>
      <c r="BB184" s="191"/>
      <c r="BC184" s="158"/>
      <c r="BD184" s="158"/>
      <c r="BE184" s="158"/>
      <c r="BF184" s="158"/>
      <c r="BG184" s="158"/>
      <c r="BH184" s="158"/>
      <c r="BI184" s="158"/>
      <c r="BJ184" s="159"/>
    </row>
    <row r="185" spans="2:71" x14ac:dyDescent="0.25">
      <c r="B185" s="20"/>
      <c r="C185" s="153" t="s">
        <v>31</v>
      </c>
      <c r="D185" s="188"/>
      <c r="E185" s="188"/>
      <c r="F185" s="188"/>
      <c r="G185" s="188"/>
      <c r="H185" s="188"/>
      <c r="I185" s="188"/>
      <c r="J185" s="188"/>
      <c r="K185" s="154">
        <v>2025</v>
      </c>
      <c r="L185" s="154"/>
      <c r="M185" s="154"/>
      <c r="N185" s="155"/>
      <c r="O185" s="158"/>
      <c r="P185" s="158"/>
      <c r="Q185" s="158"/>
      <c r="R185" s="158"/>
      <c r="S185" s="158"/>
      <c r="T185" s="158"/>
      <c r="U185" s="158"/>
      <c r="V185" s="159"/>
      <c r="W185" s="153" t="s">
        <v>35</v>
      </c>
      <c r="X185" s="188"/>
      <c r="Y185" s="188"/>
      <c r="Z185" s="188"/>
      <c r="AA185" s="188"/>
      <c r="AB185" s="188"/>
      <c r="AC185" s="188"/>
      <c r="AD185" s="188"/>
      <c r="AE185" s="154">
        <v>2025</v>
      </c>
      <c r="AF185" s="154"/>
      <c r="AG185" s="154"/>
      <c r="AH185" s="155"/>
      <c r="AI185" s="158"/>
      <c r="AJ185" s="158"/>
      <c r="AK185" s="158"/>
      <c r="AL185" s="158"/>
      <c r="AM185" s="158"/>
      <c r="AN185" s="158"/>
      <c r="AO185" s="158"/>
      <c r="AP185" s="159"/>
      <c r="AQ185" s="189" t="s">
        <v>119</v>
      </c>
      <c r="AR185" s="190"/>
      <c r="AS185" s="190"/>
      <c r="AT185" s="190"/>
      <c r="AU185" s="190"/>
      <c r="AV185" s="190"/>
      <c r="AW185" s="190"/>
      <c r="AX185" s="190"/>
      <c r="AY185" s="190"/>
      <c r="AZ185" s="190"/>
      <c r="BA185" s="190"/>
      <c r="BB185" s="191"/>
      <c r="BC185" s="158"/>
      <c r="BD185" s="158"/>
      <c r="BE185" s="158"/>
      <c r="BF185" s="158"/>
      <c r="BG185" s="158"/>
      <c r="BH185" s="158"/>
      <c r="BI185" s="158"/>
      <c r="BJ185" s="159"/>
    </row>
    <row r="186" spans="2:71" x14ac:dyDescent="0.25">
      <c r="B186" s="20"/>
      <c r="C186" s="153" t="s">
        <v>32</v>
      </c>
      <c r="D186" s="188"/>
      <c r="E186" s="188"/>
      <c r="F186" s="188"/>
      <c r="G186" s="188"/>
      <c r="H186" s="188"/>
      <c r="I186" s="188"/>
      <c r="J186" s="188"/>
      <c r="K186" s="154">
        <v>2025</v>
      </c>
      <c r="L186" s="154"/>
      <c r="M186" s="154"/>
      <c r="N186" s="155"/>
      <c r="O186" s="158"/>
      <c r="P186" s="158"/>
      <c r="Q186" s="158"/>
      <c r="R186" s="158"/>
      <c r="S186" s="158"/>
      <c r="T186" s="158"/>
      <c r="U186" s="158"/>
      <c r="V186" s="159"/>
      <c r="W186" s="153" t="s">
        <v>27</v>
      </c>
      <c r="X186" s="188"/>
      <c r="Y186" s="188"/>
      <c r="Z186" s="188"/>
      <c r="AA186" s="188"/>
      <c r="AB186" s="188"/>
      <c r="AC186" s="188"/>
      <c r="AD186" s="188"/>
      <c r="AE186" s="154">
        <v>2025</v>
      </c>
      <c r="AF186" s="154"/>
      <c r="AG186" s="154"/>
      <c r="AH186" s="155"/>
      <c r="AI186" s="158"/>
      <c r="AJ186" s="158"/>
      <c r="AK186" s="158"/>
      <c r="AL186" s="158"/>
      <c r="AM186" s="158"/>
      <c r="AN186" s="158"/>
      <c r="AO186" s="158"/>
      <c r="AP186" s="159"/>
      <c r="AQ186" s="145" t="s">
        <v>4</v>
      </c>
      <c r="AR186" s="146"/>
      <c r="AS186" s="146"/>
      <c r="AT186" s="146"/>
      <c r="AU186" s="146"/>
      <c r="AV186" s="146"/>
      <c r="AW186" s="146"/>
      <c r="AX186" s="146"/>
      <c r="AY186" s="196"/>
      <c r="AZ186" s="196"/>
      <c r="BA186" s="196"/>
      <c r="BB186" s="197"/>
      <c r="BC186" s="156">
        <f>SUM(O182:V186,AI182:AP186,BC182:BJ185)</f>
        <v>0</v>
      </c>
      <c r="BD186" s="156"/>
      <c r="BE186" s="156"/>
      <c r="BF186" s="156"/>
      <c r="BG186" s="156"/>
      <c r="BH186" s="156"/>
      <c r="BI186" s="156"/>
      <c r="BJ186" s="157"/>
    </row>
    <row r="187" spans="2:71" ht="6.9" customHeight="1" x14ac:dyDescent="0.25">
      <c r="B187" s="22"/>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40"/>
    </row>
    <row r="188" spans="2:71" x14ac:dyDescent="0.25">
      <c r="B188" s="192" t="str">
        <f>IF(AV177&lt;&gt;"NIL",IF(AND(SIGN(AV173-AV175)&lt;&gt;-1,SIGN(AV177-BC186)&lt;&gt;-1,NOT(AV177=BC186)),"12. Tax Payable  (11 - 10)  :",IF(AND(SIGN(AV173-AV175)&lt;&gt;-1,SIGN(AV177-BC186)=-1),"12. Refundable (11 - 10) u/s 431 :",IF(AND(SIGN(AV173-AV175)=-1,SIGN(AV177-BC186)=-1),"12. Refundable (11 - 10)  u/s 431 :",IF(AND(SIGN(AV173-AV175)=-1,SIGN(AV177-BC186)&lt;&gt;-1),"12. Refundable (11 - 10)  u/s 431 :",IF((AV177-BC186)=0,"12. Tax Payable  (11 - 10)  :",0))))),IF(BC186&lt;&gt;0, "12. Refundable (11 - 10)  u/s 431 :","12. Tax Payable  (11 - 10)  :"))</f>
        <v>12. Tax Payable  (11 - 10)  :</v>
      </c>
      <c r="C188" s="154"/>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c r="AJ188" s="154"/>
      <c r="AK188" s="154"/>
      <c r="AL188" s="154"/>
      <c r="AM188" s="154"/>
      <c r="AN188" s="154"/>
      <c r="AO188" s="154"/>
      <c r="AP188" s="154"/>
      <c r="AQ188" s="154"/>
      <c r="AR188" s="154"/>
      <c r="AS188" s="154"/>
      <c r="AT188" s="154"/>
      <c r="AU188" s="25"/>
      <c r="AV188" s="193" t="str">
        <f>IF(AV177&lt;&gt;"NIL",IF(AND(SIGN(AV173-AV175)&lt;&gt;-1,SIGN(AV177-BC186)&lt;&gt;-1,NOT(AV177=BC186)),MROUND(ABS(AV177-BC186),10),IF(AND(SIGN(AV173-AV175)&lt;&gt;-1,SIGN(AV177-BC186)=-1),IF(MROUND(ABS(AV177-BC186),10)=0,"NIL",MROUND(ABS(AV177-BC186),10)),IF(AND(SIGN(AV173-AV175)=-1,SIGN(AV177-BC186)=-1),MROUND(ABS(AV177+BC186),10),IF(AND(SIGN(AV173-AV175)=-1,SIGN(AV177-BC186)&lt;&gt;-1),MROUND(ABS(AV177+BC186),10),IF((AV177-BC186)=0,"NIL",0))))),IF(BC186&lt;&gt;0,MROUND(BC186,10),"NIL"))</f>
        <v>NIL</v>
      </c>
      <c r="AW188" s="194"/>
      <c r="AX188" s="194"/>
      <c r="AY188" s="194"/>
      <c r="AZ188" s="194"/>
      <c r="BA188" s="194"/>
      <c r="BB188" s="194"/>
      <c r="BC188" s="194"/>
      <c r="BD188" s="194"/>
      <c r="BE188" s="194"/>
      <c r="BF188" s="194"/>
      <c r="BG188" s="194"/>
      <c r="BH188" s="194"/>
      <c r="BI188" s="194"/>
      <c r="BJ188" s="195"/>
    </row>
    <row r="189" spans="2:71" ht="6.9" customHeight="1" x14ac:dyDescent="0.25"/>
    <row r="190" spans="2:71" x14ac:dyDescent="0.25">
      <c r="B190" s="145" t="s">
        <v>99</v>
      </c>
      <c r="C190" s="146"/>
      <c r="D190" s="146"/>
      <c r="E190" s="146"/>
      <c r="F190" s="146"/>
      <c r="G190" s="146"/>
      <c r="H190" s="146"/>
      <c r="I190" s="146"/>
      <c r="J190" s="146"/>
      <c r="K190" s="146"/>
      <c r="L190" s="146"/>
      <c r="M190" s="146"/>
      <c r="N190" s="146"/>
      <c r="O190" s="146"/>
      <c r="P190" s="146"/>
      <c r="Q190" s="146"/>
      <c r="R190" s="146"/>
      <c r="S190" s="146"/>
      <c r="T190" s="146"/>
      <c r="U190" s="146"/>
      <c r="V190" s="146"/>
      <c r="W190" s="146"/>
      <c r="X190" s="146"/>
      <c r="Y190" s="146"/>
      <c r="Z190" s="146"/>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7"/>
    </row>
    <row r="191" spans="2:71" ht="8.1" customHeight="1" x14ac:dyDescent="0.25">
      <c r="B191" s="20"/>
      <c r="BJ191" s="26"/>
    </row>
    <row r="192" spans="2:71" x14ac:dyDescent="0.25">
      <c r="B192" s="20"/>
      <c r="C192" s="148" t="s">
        <v>53</v>
      </c>
      <c r="D192" s="148"/>
      <c r="E192" s="149" t="str">
        <f>PROPER(L5)</f>
        <v xml:space="preserve"> </v>
      </c>
      <c r="F192" s="150"/>
      <c r="G192" s="150"/>
      <c r="H192" s="150"/>
      <c r="I192" s="150"/>
      <c r="J192" s="150"/>
      <c r="K192" s="150"/>
      <c r="L192" s="150"/>
      <c r="M192" s="150"/>
      <c r="N192" s="150"/>
      <c r="O192" s="150"/>
      <c r="P192" s="150"/>
      <c r="Q192" s="150"/>
      <c r="R192" s="150"/>
      <c r="S192" s="150"/>
      <c r="T192" s="150"/>
      <c r="U192" s="150"/>
      <c r="V192" s="150"/>
      <c r="W192" s="150"/>
      <c r="X192" s="150"/>
      <c r="Y192" s="150"/>
      <c r="Z192" s="148" t="s">
        <v>100</v>
      </c>
      <c r="AA192" s="148"/>
      <c r="AB192" s="148"/>
      <c r="AC192" s="148"/>
      <c r="AD192" s="148"/>
      <c r="AE192" s="148"/>
      <c r="AF192" s="148"/>
      <c r="AG192" s="148"/>
      <c r="AH192" s="148"/>
      <c r="AI192" s="149" t="str">
        <f>IF(ISBLANK('Basic Information'!L8)," ",PROPER('Basic Information'!L8))</f>
        <v xml:space="preserve"> </v>
      </c>
      <c r="AJ192" s="149"/>
      <c r="AK192" s="149"/>
      <c r="AL192" s="149"/>
      <c r="AM192" s="149"/>
      <c r="AN192" s="149"/>
      <c r="AO192" s="149"/>
      <c r="AP192" s="149"/>
      <c r="AQ192" s="149"/>
      <c r="AR192" s="149"/>
      <c r="AS192" s="149"/>
      <c r="AT192" s="149"/>
      <c r="AU192" s="149"/>
      <c r="AV192" s="149"/>
      <c r="AW192" s="149"/>
      <c r="AX192" s="149"/>
      <c r="AY192" s="149"/>
      <c r="AZ192" s="148" t="s">
        <v>101</v>
      </c>
      <c r="BA192" s="148"/>
      <c r="BB192" s="148"/>
      <c r="BC192" s="148"/>
      <c r="BD192" s="148"/>
      <c r="BE192" s="148"/>
      <c r="BF192" s="148"/>
      <c r="BG192" s="148"/>
      <c r="BH192" s="148"/>
      <c r="BI192" s="148"/>
      <c r="BJ192" s="151"/>
    </row>
    <row r="193" spans="2:62" x14ac:dyDescent="0.25">
      <c r="B193" s="20"/>
      <c r="C193" s="148" t="s">
        <v>102</v>
      </c>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c r="AB193" s="148"/>
      <c r="AC193" s="148"/>
      <c r="AD193" s="148"/>
      <c r="AE193" s="148"/>
      <c r="AF193" s="148"/>
      <c r="AG193" s="148"/>
      <c r="AH193" s="148"/>
      <c r="AI193" s="148"/>
      <c r="AJ193" s="148"/>
      <c r="AK193" s="148"/>
      <c r="AL193" s="148"/>
      <c r="AM193" s="148"/>
      <c r="AN193" s="148"/>
      <c r="AO193" s="148"/>
      <c r="AP193" s="148"/>
      <c r="AQ193" s="148"/>
      <c r="AR193" s="148"/>
      <c r="AS193" s="148"/>
      <c r="AT193" s="148"/>
      <c r="AU193" s="148"/>
      <c r="AV193" s="148"/>
      <c r="AW193" s="148"/>
      <c r="AX193" s="148"/>
      <c r="AY193" s="148"/>
      <c r="AZ193" s="148"/>
      <c r="BA193" s="148"/>
      <c r="BB193" s="148"/>
      <c r="BC193" s="148"/>
      <c r="BD193" s="148"/>
      <c r="BE193" s="148"/>
      <c r="BF193" s="148"/>
      <c r="BG193" s="148"/>
      <c r="BH193" s="148"/>
      <c r="BI193" s="148"/>
      <c r="BJ193" s="26"/>
    </row>
    <row r="194" spans="2:62" x14ac:dyDescent="0.25">
      <c r="B194" s="20"/>
      <c r="C194" s="148" t="s">
        <v>233</v>
      </c>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c r="AB194" s="148"/>
      <c r="AC194" s="148"/>
      <c r="AD194" s="148"/>
      <c r="AE194" s="148"/>
      <c r="AF194" s="148"/>
      <c r="AG194" s="148"/>
      <c r="AH194" s="148"/>
      <c r="AI194" s="148"/>
      <c r="AJ194" s="148"/>
      <c r="AK194" s="148"/>
      <c r="AL194" s="148"/>
      <c r="AM194" s="148"/>
      <c r="AN194" s="148"/>
      <c r="AO194" s="148"/>
      <c r="AP194" s="148"/>
      <c r="AQ194" s="148"/>
      <c r="AR194" s="148"/>
      <c r="AS194" s="148"/>
      <c r="AT194" s="148"/>
      <c r="AU194" s="148"/>
      <c r="AV194" s="148"/>
      <c r="AW194" s="148"/>
      <c r="AX194" s="148"/>
      <c r="AY194" s="148"/>
      <c r="AZ194" s="148"/>
      <c r="BA194" s="148"/>
      <c r="BB194" s="148"/>
      <c r="BC194" s="148"/>
      <c r="BD194" s="148"/>
      <c r="BE194" s="148"/>
      <c r="BF194" s="148"/>
      <c r="BG194" s="148"/>
      <c r="BH194" s="148"/>
      <c r="BI194" s="148"/>
      <c r="BJ194" s="26"/>
    </row>
    <row r="195" spans="2:62" x14ac:dyDescent="0.25">
      <c r="B195" s="20"/>
      <c r="C195" s="148" t="s">
        <v>104</v>
      </c>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9" t="str">
        <f>UPPER(AN5)</f>
        <v xml:space="preserve"> </v>
      </c>
      <c r="Z195" s="149"/>
      <c r="AA195" s="149"/>
      <c r="AB195" s="149"/>
      <c r="AC195" s="149"/>
      <c r="AD195" s="149"/>
      <c r="AE195" s="149"/>
      <c r="AF195" s="149"/>
      <c r="AG195" s="148"/>
      <c r="AH195" s="12" t="s">
        <v>103</v>
      </c>
      <c r="BJ195" s="26"/>
    </row>
    <row r="196" spans="2:62" ht="6" customHeight="1" x14ac:dyDescent="0.25">
      <c r="B196" s="20"/>
      <c r="BJ196" s="26"/>
    </row>
    <row r="197" spans="2:62" ht="6" customHeight="1" x14ac:dyDescent="0.25">
      <c r="B197" s="20"/>
      <c r="BJ197" s="26"/>
    </row>
    <row r="198" spans="2:62" x14ac:dyDescent="0.25">
      <c r="B198" s="20"/>
      <c r="AF198" s="148" t="s">
        <v>14</v>
      </c>
      <c r="AG198" s="148"/>
      <c r="AH198" s="148"/>
      <c r="AI198" s="148"/>
      <c r="AJ198" s="148"/>
      <c r="AK198" s="148"/>
      <c r="AL198" s="148"/>
      <c r="AM198" s="148"/>
      <c r="AN198" s="27" t="s">
        <v>5</v>
      </c>
      <c r="BJ198" s="26"/>
    </row>
    <row r="199" spans="2:62" ht="8.1" customHeight="1" x14ac:dyDescent="0.25">
      <c r="B199" s="20"/>
      <c r="BJ199" s="26"/>
    </row>
    <row r="200" spans="2:62" ht="14.4" x14ac:dyDescent="0.25">
      <c r="B200" s="187" t="s">
        <v>11</v>
      </c>
      <c r="C200" s="148"/>
      <c r="D200" s="148"/>
      <c r="E200" s="148"/>
      <c r="F200" s="148"/>
      <c r="G200" s="27" t="s">
        <v>5</v>
      </c>
      <c r="H200" s="150" t="str">
        <f>IF(ISBLANK('Basic Information'!H29)," ",PROPER('Basic Information'!H29))</f>
        <v xml:space="preserve"> </v>
      </c>
      <c r="I200" s="150"/>
      <c r="J200" s="150"/>
      <c r="K200" s="150"/>
      <c r="L200" s="150"/>
      <c r="M200" s="150"/>
      <c r="N200" s="150"/>
      <c r="O200" s="150"/>
      <c r="P200" s="150"/>
      <c r="Q200" s="150"/>
      <c r="R200" s="150"/>
      <c r="S200" s="150"/>
      <c r="T200" s="321"/>
      <c r="U200" s="321"/>
      <c r="V200" s="321"/>
      <c r="W200" s="321"/>
      <c r="X200" s="321"/>
      <c r="AF200" s="148" t="s">
        <v>13</v>
      </c>
      <c r="AG200" s="148"/>
      <c r="AH200" s="148"/>
      <c r="AI200" s="148"/>
      <c r="AJ200" s="148"/>
      <c r="AK200" s="148"/>
      <c r="AL200" s="148"/>
      <c r="AM200" s="148"/>
      <c r="AN200" s="27" t="s">
        <v>5</v>
      </c>
      <c r="AO200" s="150" t="str">
        <f>PROPER(L5)</f>
        <v xml:space="preserve"> </v>
      </c>
      <c r="AP200" s="150"/>
      <c r="AQ200" s="150"/>
      <c r="AR200" s="150"/>
      <c r="AS200" s="150"/>
      <c r="AT200" s="150"/>
      <c r="AU200" s="150"/>
      <c r="AV200" s="150"/>
      <c r="AW200" s="150"/>
      <c r="AX200" s="150"/>
      <c r="AY200" s="150"/>
      <c r="AZ200" s="150"/>
      <c r="BA200" s="150"/>
      <c r="BB200" s="150"/>
      <c r="BC200" s="150"/>
      <c r="BD200" s="150"/>
      <c r="BE200" s="150"/>
      <c r="BF200" s="150"/>
      <c r="BG200" s="150"/>
      <c r="BH200" s="150"/>
      <c r="BI200" s="150"/>
      <c r="BJ200" s="26"/>
    </row>
    <row r="201" spans="2:62" ht="6.9" customHeight="1" x14ac:dyDescent="0.25">
      <c r="B201" s="20"/>
      <c r="BJ201" s="26"/>
    </row>
    <row r="202" spans="2:62" x14ac:dyDescent="0.25">
      <c r="B202" s="187" t="s">
        <v>12</v>
      </c>
      <c r="C202" s="148"/>
      <c r="D202" s="148"/>
      <c r="E202" s="148"/>
      <c r="F202" s="148"/>
      <c r="G202" s="27" t="s">
        <v>5</v>
      </c>
      <c r="H202" s="150" t="str">
        <f>IF(ISBLANK('Basic Information'!H31)," ",PROPER('Basic Information'!H31))</f>
        <v xml:space="preserve"> </v>
      </c>
      <c r="I202" s="150"/>
      <c r="J202" s="150"/>
      <c r="K202" s="150"/>
      <c r="L202" s="150"/>
      <c r="M202" s="150"/>
      <c r="N202" s="150"/>
      <c r="O202" s="150"/>
      <c r="P202" s="150"/>
      <c r="Q202" s="150"/>
      <c r="R202" s="150"/>
      <c r="S202" s="150"/>
      <c r="AF202" s="148" t="s">
        <v>15</v>
      </c>
      <c r="AG202" s="148"/>
      <c r="AH202" s="148"/>
      <c r="AI202" s="148"/>
      <c r="AJ202" s="148"/>
      <c r="AK202" s="148"/>
      <c r="AL202" s="148"/>
      <c r="AM202" s="148"/>
      <c r="AN202" s="27" t="s">
        <v>5</v>
      </c>
      <c r="AO202" s="150" t="str">
        <f>PROPER(L7)</f>
        <v xml:space="preserve"> </v>
      </c>
      <c r="AP202" s="150"/>
      <c r="AQ202" s="150"/>
      <c r="AR202" s="150"/>
      <c r="AS202" s="150"/>
      <c r="AT202" s="150"/>
      <c r="AU202" s="150"/>
      <c r="AV202" s="150"/>
      <c r="AW202" s="150"/>
      <c r="AX202" s="150"/>
      <c r="AY202" s="150"/>
      <c r="AZ202" s="150"/>
      <c r="BA202" s="150"/>
      <c r="BB202" s="150"/>
      <c r="BC202" s="150"/>
      <c r="BD202" s="150"/>
      <c r="BE202" s="150"/>
      <c r="BF202" s="150"/>
      <c r="BG202" s="150"/>
      <c r="BH202" s="150"/>
      <c r="BI202" s="150"/>
      <c r="BJ202" s="26"/>
    </row>
    <row r="203" spans="2:62" ht="6" customHeight="1" x14ac:dyDescent="0.25">
      <c r="B203" s="20"/>
      <c r="BJ203" s="26"/>
    </row>
    <row r="204" spans="2:62" ht="15" customHeight="1" x14ac:dyDescent="0.25">
      <c r="B204" s="20"/>
      <c r="X204" s="148" t="s">
        <v>6</v>
      </c>
      <c r="Y204" s="148"/>
      <c r="Z204" s="148"/>
      <c r="AA204" s="148"/>
      <c r="AB204" s="148"/>
      <c r="AC204" s="148"/>
      <c r="AD204" s="148"/>
      <c r="AE204" s="148"/>
      <c r="AF204" s="148"/>
      <c r="AG204" s="148"/>
      <c r="AH204" s="148"/>
      <c r="AI204" s="148"/>
      <c r="AJ204" s="148"/>
      <c r="BJ204" s="26"/>
    </row>
    <row r="205" spans="2:62" x14ac:dyDescent="0.25">
      <c r="B205" s="20"/>
      <c r="BJ205" s="26"/>
    </row>
    <row r="206" spans="2:62" ht="8.1" customHeight="1" x14ac:dyDescent="0.25">
      <c r="B206" s="20"/>
      <c r="AO206" s="107" t="str">
        <f>IF(ISTEXT('Basic Information'!AG27),PROPER('Basic Information'!AG27),"")</f>
        <v/>
      </c>
      <c r="AP206" s="107"/>
      <c r="AQ206" s="107"/>
      <c r="AR206" s="107"/>
      <c r="AS206" s="107"/>
      <c r="AT206" s="107"/>
      <c r="AU206" s="107"/>
      <c r="AV206" s="107"/>
      <c r="AW206" s="107"/>
      <c r="AX206" s="107"/>
      <c r="AY206" s="107"/>
      <c r="AZ206" s="107"/>
      <c r="BA206" s="107"/>
      <c r="BB206" s="107"/>
      <c r="BC206" s="107"/>
      <c r="BD206" s="107"/>
      <c r="BE206" s="107"/>
      <c r="BF206" s="107"/>
      <c r="BG206" s="107"/>
      <c r="BH206" s="107"/>
      <c r="BI206" s="107"/>
      <c r="BJ206" s="26"/>
    </row>
    <row r="207" spans="2:62" ht="10.5" customHeight="1" x14ac:dyDescent="0.25">
      <c r="B207" s="20"/>
      <c r="AO207" s="107"/>
      <c r="AP207" s="107"/>
      <c r="AQ207" s="107"/>
      <c r="AR207" s="107"/>
      <c r="AS207" s="107"/>
      <c r="AT207" s="107"/>
      <c r="AU207" s="107"/>
      <c r="AV207" s="107"/>
      <c r="AW207" s="107"/>
      <c r="AX207" s="107"/>
      <c r="AY207" s="107"/>
      <c r="AZ207" s="107"/>
      <c r="BA207" s="107"/>
      <c r="BB207" s="107"/>
      <c r="BC207" s="107"/>
      <c r="BD207" s="107"/>
      <c r="BE207" s="107"/>
      <c r="BF207" s="107"/>
      <c r="BG207" s="107"/>
      <c r="BH207" s="107"/>
      <c r="BI207" s="107"/>
      <c r="BJ207" s="26"/>
    </row>
    <row r="208" spans="2:62" ht="8.1" customHeight="1" x14ac:dyDescent="0.25">
      <c r="B208" s="20"/>
      <c r="AO208" s="308" t="str">
        <f>IF(ISBLANK('Basic Information'!V3),"",PROPER('Basic Information'!V3))</f>
        <v/>
      </c>
      <c r="AP208" s="308"/>
      <c r="AQ208" s="308"/>
      <c r="AR208" s="308"/>
      <c r="AS208" s="308"/>
      <c r="AT208" s="308"/>
      <c r="AU208" s="308"/>
      <c r="AV208" s="308"/>
      <c r="AW208" s="308"/>
      <c r="AX208" s="308"/>
      <c r="AY208" s="308"/>
      <c r="AZ208" s="308"/>
      <c r="BA208" s="308"/>
      <c r="BB208" s="308"/>
      <c r="BC208" s="308"/>
      <c r="BD208" s="308"/>
      <c r="BE208" s="308"/>
      <c r="BF208" s="308"/>
      <c r="BG208" s="308"/>
      <c r="BH208" s="308"/>
      <c r="BI208" s="308"/>
      <c r="BJ208" s="26"/>
    </row>
    <row r="209" spans="2:62" ht="25.5" customHeight="1" x14ac:dyDescent="0.25">
      <c r="B209" s="22"/>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309"/>
      <c r="AP209" s="309"/>
      <c r="AQ209" s="309"/>
      <c r="AR209" s="309"/>
      <c r="AS209" s="309"/>
      <c r="AT209" s="309"/>
      <c r="AU209" s="309"/>
      <c r="AV209" s="309"/>
      <c r="AW209" s="309"/>
      <c r="AX209" s="309"/>
      <c r="AY209" s="309"/>
      <c r="AZ209" s="309"/>
      <c r="BA209" s="309"/>
      <c r="BB209" s="309"/>
      <c r="BC209" s="309"/>
      <c r="BD209" s="309"/>
      <c r="BE209" s="309"/>
      <c r="BF209" s="309"/>
      <c r="BG209" s="309"/>
      <c r="BH209" s="309"/>
      <c r="BI209" s="309"/>
      <c r="BJ209" s="40"/>
    </row>
  </sheetData>
  <sheetProtection algorithmName="SHA-512" hashValue="vxXAo1ww3ess12IETKHzGqLbRIHkchOJ4iDbf1WauuB367bRv3YCtL7Epukk5cWmeGpac3aTN7trI2Mza5oh5A==" saltValue="HLYq0jyjvfdOM3crFEYStA==" spinCount="100000" sheet="1" objects="1" scenarios="1" selectLockedCells="1"/>
  <mergeCells count="527">
    <mergeCell ref="C151:AH151"/>
    <mergeCell ref="AJ151:AS151"/>
    <mergeCell ref="AT151:AU151"/>
    <mergeCell ref="AV151:BJ151"/>
    <mergeCell ref="C153:AH153"/>
    <mergeCell ref="AJ153:AS153"/>
    <mergeCell ref="AT153:AU153"/>
    <mergeCell ref="AV153:BJ153"/>
    <mergeCell ref="BP150:BW152"/>
    <mergeCell ref="BP153:BW154"/>
    <mergeCell ref="AJ13:AO13"/>
    <mergeCell ref="AJ14:AO14"/>
    <mergeCell ref="AJ15:AO15"/>
    <mergeCell ref="AJ16:AO16"/>
    <mergeCell ref="AJ17:AO17"/>
    <mergeCell ref="C50:AT50"/>
    <mergeCell ref="AU18:AY18"/>
    <mergeCell ref="AP19:AT19"/>
    <mergeCell ref="AU19:AY19"/>
    <mergeCell ref="AU24:AY24"/>
    <mergeCell ref="AP20:AT20"/>
    <mergeCell ref="AU20:AY20"/>
    <mergeCell ref="AP21:AT21"/>
    <mergeCell ref="AU21:AY21"/>
    <mergeCell ref="AP22:AT22"/>
    <mergeCell ref="AU22:AY22"/>
    <mergeCell ref="AV50:BJ50"/>
    <mergeCell ref="AC20:AI20"/>
    <mergeCell ref="Q18:V18"/>
    <mergeCell ref="Q21:V21"/>
    <mergeCell ref="Q22:V22"/>
    <mergeCell ref="Q23:V23"/>
    <mergeCell ref="BE22:BJ22"/>
    <mergeCell ref="AZ18:BD18"/>
    <mergeCell ref="B52:AT52"/>
    <mergeCell ref="AV48:BJ48"/>
    <mergeCell ref="AV40:BJ40"/>
    <mergeCell ref="AV42:BJ42"/>
    <mergeCell ref="BA30:BJ30"/>
    <mergeCell ref="BE15:BJ15"/>
    <mergeCell ref="AP16:AT16"/>
    <mergeCell ref="AU16:AY16"/>
    <mergeCell ref="AZ16:BD16"/>
    <mergeCell ref="BE16:BJ16"/>
    <mergeCell ref="AP17:AT17"/>
    <mergeCell ref="AU17:AY17"/>
    <mergeCell ref="AZ17:BD17"/>
    <mergeCell ref="BE17:BJ17"/>
    <mergeCell ref="B20:G20"/>
    <mergeCell ref="H20:J20"/>
    <mergeCell ref="BA26:BJ26"/>
    <mergeCell ref="K22:P22"/>
    <mergeCell ref="K23:P23"/>
    <mergeCell ref="K18:P18"/>
    <mergeCell ref="K19:P19"/>
    <mergeCell ref="K20:P20"/>
    <mergeCell ref="AC18:AI18"/>
    <mergeCell ref="AC19:AI19"/>
    <mergeCell ref="W147:AA147"/>
    <mergeCell ref="C147:V147"/>
    <mergeCell ref="W141:AA141"/>
    <mergeCell ref="AJ135:AS135"/>
    <mergeCell ref="AV135:BJ135"/>
    <mergeCell ref="AV137:BJ137"/>
    <mergeCell ref="AV131:BJ131"/>
    <mergeCell ref="AV95:BJ95"/>
    <mergeCell ref="AJ99:AS99"/>
    <mergeCell ref="AV99:BJ99"/>
    <mergeCell ref="AT103:AU103"/>
    <mergeCell ref="AJ113:AS113"/>
    <mergeCell ref="AB141:AH141"/>
    <mergeCell ref="AV139:BJ139"/>
    <mergeCell ref="AJ139:AS139"/>
    <mergeCell ref="AT129:AU129"/>
    <mergeCell ref="AB143:AH143"/>
    <mergeCell ref="AJ143:AS143"/>
    <mergeCell ref="AJ141:AS141"/>
    <mergeCell ref="C133:AH133"/>
    <mergeCell ref="AT131:AU131"/>
    <mergeCell ref="AT133:AU133"/>
    <mergeCell ref="AT135:AU135"/>
    <mergeCell ref="C135:AH135"/>
    <mergeCell ref="AJ93:AS93"/>
    <mergeCell ref="AV93:BJ93"/>
    <mergeCell ref="AT87:AU87"/>
    <mergeCell ref="AT89:AU89"/>
    <mergeCell ref="AV89:BJ89"/>
    <mergeCell ref="C42:AJ42"/>
    <mergeCell ref="AK42:AT42"/>
    <mergeCell ref="AJ131:AS131"/>
    <mergeCell ref="AJ133:AS133"/>
    <mergeCell ref="Y131:AH131"/>
    <mergeCell ref="C131:X131"/>
    <mergeCell ref="C103:AH103"/>
    <mergeCell ref="AV103:BJ103"/>
    <mergeCell ref="AJ107:AS107"/>
    <mergeCell ref="AT107:AU107"/>
    <mergeCell ref="AJ103:AS103"/>
    <mergeCell ref="AJ79:AS79"/>
    <mergeCell ref="AJ75:AS75"/>
    <mergeCell ref="C105:AH105"/>
    <mergeCell ref="AT105:AU105"/>
    <mergeCell ref="C107:AH107"/>
    <mergeCell ref="AV107:BJ107"/>
    <mergeCell ref="AV97:BJ97"/>
    <mergeCell ref="AV85:BJ85"/>
    <mergeCell ref="AV81:BJ81"/>
    <mergeCell ref="AV83:BJ83"/>
    <mergeCell ref="AJ81:AS81"/>
    <mergeCell ref="AJ83:AS83"/>
    <mergeCell ref="AV68:BJ68"/>
    <mergeCell ref="AV70:BJ70"/>
    <mergeCell ref="AV72:BJ72"/>
    <mergeCell ref="B72:AT72"/>
    <mergeCell ref="C85:AH85"/>
    <mergeCell ref="AT81:AU81"/>
    <mergeCell ref="AT83:AU83"/>
    <mergeCell ref="AV75:BJ75"/>
    <mergeCell ref="AT85:AU85"/>
    <mergeCell ref="C79:AH79"/>
    <mergeCell ref="AT77:AU77"/>
    <mergeCell ref="AT79:AU79"/>
    <mergeCell ref="AV77:BJ77"/>
    <mergeCell ref="C77:AH77"/>
    <mergeCell ref="AV79:BJ79"/>
    <mergeCell ref="AJ77:AS77"/>
    <mergeCell ref="C81:AH81"/>
    <mergeCell ref="B75:AI75"/>
    <mergeCell ref="AT75:AU75"/>
    <mergeCell ref="C83:AH83"/>
    <mergeCell ref="AO208:BI209"/>
    <mergeCell ref="AV115:BJ115"/>
    <mergeCell ref="C87:AH87"/>
    <mergeCell ref="C89:AH89"/>
    <mergeCell ref="C91:AH91"/>
    <mergeCell ref="C93:AH93"/>
    <mergeCell ref="C95:AH95"/>
    <mergeCell ref="C97:AH97"/>
    <mergeCell ref="AJ101:AS101"/>
    <mergeCell ref="C99:AH99"/>
    <mergeCell ref="AJ89:AS89"/>
    <mergeCell ref="C101:AH101"/>
    <mergeCell ref="AV105:BJ105"/>
    <mergeCell ref="AJ115:AS115"/>
    <mergeCell ref="W149:AA149"/>
    <mergeCell ref="Y129:AH129"/>
    <mergeCell ref="AT141:AU141"/>
    <mergeCell ref="C129:X129"/>
    <mergeCell ref="AT95:AU95"/>
    <mergeCell ref="AT97:AU97"/>
    <mergeCell ref="AV143:BJ143"/>
    <mergeCell ref="W143:AA143"/>
    <mergeCell ref="H200:X200"/>
    <mergeCell ref="C137:AH137"/>
    <mergeCell ref="AJ137:AS137"/>
    <mergeCell ref="AT139:AU139"/>
    <mergeCell ref="AT137:AU137"/>
    <mergeCell ref="C143:M143"/>
    <mergeCell ref="N143:V143"/>
    <mergeCell ref="C141:M141"/>
    <mergeCell ref="N141:V141"/>
    <mergeCell ref="C139:AH139"/>
    <mergeCell ref="AT143:AU143"/>
    <mergeCell ref="AV141:BJ141"/>
    <mergeCell ref="AT91:AU91"/>
    <mergeCell ref="AV91:BJ91"/>
    <mergeCell ref="AJ85:AS85"/>
    <mergeCell ref="AJ91:AS91"/>
    <mergeCell ref="AT93:AU93"/>
    <mergeCell ref="AJ87:AS87"/>
    <mergeCell ref="AV87:BJ87"/>
    <mergeCell ref="AV133:BJ133"/>
    <mergeCell ref="AV101:BJ101"/>
    <mergeCell ref="AJ129:AS129"/>
    <mergeCell ref="AV129:BJ129"/>
    <mergeCell ref="AT99:AU99"/>
    <mergeCell ref="AT101:AU101"/>
    <mergeCell ref="AJ95:AS95"/>
    <mergeCell ref="C109:BJ109"/>
    <mergeCell ref="D111:BJ111"/>
    <mergeCell ref="AV113:BJ113"/>
    <mergeCell ref="C127:AH127"/>
    <mergeCell ref="AV125:BJ125"/>
    <mergeCell ref="AJ127:AS127"/>
    <mergeCell ref="AV127:BJ127"/>
    <mergeCell ref="AJ97:AS97"/>
    <mergeCell ref="AT127:AU127"/>
    <mergeCell ref="BQ2:BU3"/>
    <mergeCell ref="B161:AT161"/>
    <mergeCell ref="C145:AH145"/>
    <mergeCell ref="AJ145:AS145"/>
    <mergeCell ref="AV145:BJ145"/>
    <mergeCell ref="C155:AH155"/>
    <mergeCell ref="AJ155:AS155"/>
    <mergeCell ref="AV155:BJ155"/>
    <mergeCell ref="AV121:BJ121"/>
    <mergeCell ref="E115:AH115"/>
    <mergeCell ref="AT115:AU115"/>
    <mergeCell ref="D117:BJ117"/>
    <mergeCell ref="E119:AB119"/>
    <mergeCell ref="AC119:AG119"/>
    <mergeCell ref="AJ105:AS105"/>
    <mergeCell ref="AV161:BJ161"/>
    <mergeCell ref="C40:AJ40"/>
    <mergeCell ref="AK40:AT40"/>
    <mergeCell ref="AH28:AY28"/>
    <mergeCell ref="B24:J24"/>
    <mergeCell ref="C28:T28"/>
    <mergeCell ref="V28:AE28"/>
    <mergeCell ref="BQ4:BU5"/>
    <mergeCell ref="K21:P21"/>
    <mergeCell ref="W18:AB18"/>
    <mergeCell ref="W19:AB19"/>
    <mergeCell ref="AC21:AI21"/>
    <mergeCell ref="AC22:AI22"/>
    <mergeCell ref="AC23:AI23"/>
    <mergeCell ref="AC24:AI24"/>
    <mergeCell ref="W20:AB20"/>
    <mergeCell ref="AV66:BJ66"/>
    <mergeCell ref="C64:AT64"/>
    <mergeCell ref="C66:AT66"/>
    <mergeCell ref="AV52:BJ52"/>
    <mergeCell ref="C58:AT58"/>
    <mergeCell ref="B62:AT62"/>
    <mergeCell ref="B54:AT54"/>
    <mergeCell ref="AV58:BJ58"/>
    <mergeCell ref="C60:AT60"/>
    <mergeCell ref="AV60:BJ60"/>
    <mergeCell ref="AS56:AY56"/>
    <mergeCell ref="C56:AR56"/>
    <mergeCell ref="W21:AB21"/>
    <mergeCell ref="AP23:AT23"/>
    <mergeCell ref="AU23:AY23"/>
    <mergeCell ref="AZ23:BD23"/>
    <mergeCell ref="BE23:BJ23"/>
    <mergeCell ref="W12:AB12"/>
    <mergeCell ref="W13:AB13"/>
    <mergeCell ref="W14:AB14"/>
    <mergeCell ref="AC16:AI16"/>
    <mergeCell ref="AC17:AI17"/>
    <mergeCell ref="W15:AB15"/>
    <mergeCell ref="W16:AB16"/>
    <mergeCell ref="W17:AB17"/>
    <mergeCell ref="AC13:AI13"/>
    <mergeCell ref="AC14:AI14"/>
    <mergeCell ref="AC15:AI15"/>
    <mergeCell ref="AJ18:AO18"/>
    <mergeCell ref="AJ19:AO19"/>
    <mergeCell ref="AJ20:AO20"/>
    <mergeCell ref="AJ21:AO21"/>
    <mergeCell ref="BE18:BJ18"/>
    <mergeCell ref="AZ19:BD19"/>
    <mergeCell ref="BE19:BJ19"/>
    <mergeCell ref="AZ24:BD24"/>
    <mergeCell ref="BE24:BJ24"/>
    <mergeCell ref="AZ20:BD20"/>
    <mergeCell ref="BE20:BJ20"/>
    <mergeCell ref="AZ21:BD21"/>
    <mergeCell ref="BE21:BJ21"/>
    <mergeCell ref="AZ22:BD22"/>
    <mergeCell ref="AP18:AT18"/>
    <mergeCell ref="AN5:BE5"/>
    <mergeCell ref="AG5:AL5"/>
    <mergeCell ref="B5:J5"/>
    <mergeCell ref="B7:J7"/>
    <mergeCell ref="L5:AE5"/>
    <mergeCell ref="L7:AE7"/>
    <mergeCell ref="H12:J12"/>
    <mergeCell ref="B11:J11"/>
    <mergeCell ref="B12:G12"/>
    <mergeCell ref="AP11:AT11"/>
    <mergeCell ref="AU11:AY11"/>
    <mergeCell ref="AZ11:BD11"/>
    <mergeCell ref="BE11:BJ11"/>
    <mergeCell ref="AP12:AT12"/>
    <mergeCell ref="AU12:AY12"/>
    <mergeCell ref="AZ12:BD12"/>
    <mergeCell ref="Q12:V12"/>
    <mergeCell ref="AJ11:AO11"/>
    <mergeCell ref="AJ12:AO12"/>
    <mergeCell ref="AC11:AI11"/>
    <mergeCell ref="AC12:AI12"/>
    <mergeCell ref="K11:P11"/>
    <mergeCell ref="K12:P12"/>
    <mergeCell ref="W11:AB11"/>
    <mergeCell ref="K13:P13"/>
    <mergeCell ref="K14:P14"/>
    <mergeCell ref="Q11:V11"/>
    <mergeCell ref="Q14:V14"/>
    <mergeCell ref="B15:G15"/>
    <mergeCell ref="H15:J15"/>
    <mergeCell ref="Q13:V13"/>
    <mergeCell ref="B18:G18"/>
    <mergeCell ref="H18:J18"/>
    <mergeCell ref="B17:G17"/>
    <mergeCell ref="H17:J17"/>
    <mergeCell ref="B16:G16"/>
    <mergeCell ref="B14:G14"/>
    <mergeCell ref="H14:J14"/>
    <mergeCell ref="H16:J16"/>
    <mergeCell ref="K15:P15"/>
    <mergeCell ref="K16:P16"/>
    <mergeCell ref="K17:P17"/>
    <mergeCell ref="Q15:V15"/>
    <mergeCell ref="AQ34:BA34"/>
    <mergeCell ref="BC34:BJ34"/>
    <mergeCell ref="C34:L34"/>
    <mergeCell ref="W34:AF34"/>
    <mergeCell ref="AH34:AO34"/>
    <mergeCell ref="C30:T30"/>
    <mergeCell ref="V30:AE30"/>
    <mergeCell ref="Q24:V24"/>
    <mergeCell ref="W24:AB24"/>
    <mergeCell ref="BA28:BJ28"/>
    <mergeCell ref="K24:P24"/>
    <mergeCell ref="AP24:AT24"/>
    <mergeCell ref="H23:J23"/>
    <mergeCell ref="B21:G21"/>
    <mergeCell ref="C48:AT48"/>
    <mergeCell ref="BE12:BJ12"/>
    <mergeCell ref="B13:G13"/>
    <mergeCell ref="H13:J13"/>
    <mergeCell ref="Q16:V16"/>
    <mergeCell ref="Q17:V17"/>
    <mergeCell ref="AP13:AT13"/>
    <mergeCell ref="AU13:AY13"/>
    <mergeCell ref="AZ13:BD13"/>
    <mergeCell ref="BE13:BJ13"/>
    <mergeCell ref="AP14:AT14"/>
    <mergeCell ref="AU14:AY14"/>
    <mergeCell ref="AZ14:BD14"/>
    <mergeCell ref="BE14:BJ14"/>
    <mergeCell ref="AP15:AT15"/>
    <mergeCell ref="AU15:AY15"/>
    <mergeCell ref="AZ15:BD15"/>
    <mergeCell ref="B22:G22"/>
    <mergeCell ref="H22:J22"/>
    <mergeCell ref="B38:BJ38"/>
    <mergeCell ref="B36:AT36"/>
    <mergeCell ref="AV36:BJ36"/>
    <mergeCell ref="C68:AT68"/>
    <mergeCell ref="N34:U34"/>
    <mergeCell ref="C70:AT70"/>
    <mergeCell ref="B19:G19"/>
    <mergeCell ref="H19:J19"/>
    <mergeCell ref="Q19:V19"/>
    <mergeCell ref="Q20:V20"/>
    <mergeCell ref="AJ22:AO22"/>
    <mergeCell ref="AJ23:AO23"/>
    <mergeCell ref="AJ24:AO24"/>
    <mergeCell ref="AH30:AY30"/>
    <mergeCell ref="AV64:BJ64"/>
    <mergeCell ref="W22:AB22"/>
    <mergeCell ref="W23:AB23"/>
    <mergeCell ref="AF28:AG28"/>
    <mergeCell ref="C26:T26"/>
    <mergeCell ref="V26:AE26"/>
    <mergeCell ref="AF26:AG26"/>
    <mergeCell ref="AH26:AY26"/>
    <mergeCell ref="H21:J21"/>
    <mergeCell ref="B46:AT46"/>
    <mergeCell ref="AV44:BJ44"/>
    <mergeCell ref="B44:AT44"/>
    <mergeCell ref="B23:G23"/>
    <mergeCell ref="Q121:Y121"/>
    <mergeCell ref="E113:P113"/>
    <mergeCell ref="Z113:AH113"/>
    <mergeCell ref="AT113:AU113"/>
    <mergeCell ref="Q113:Y113"/>
    <mergeCell ref="AH119:BJ119"/>
    <mergeCell ref="AJ123:AS123"/>
    <mergeCell ref="AV123:BJ123"/>
    <mergeCell ref="AJ125:AS125"/>
    <mergeCell ref="Q125:Y125"/>
    <mergeCell ref="E123:AH123"/>
    <mergeCell ref="Z125:AH125"/>
    <mergeCell ref="E121:P121"/>
    <mergeCell ref="Z121:AH121"/>
    <mergeCell ref="AT121:AU121"/>
    <mergeCell ref="AT123:AU123"/>
    <mergeCell ref="AT125:AU125"/>
    <mergeCell ref="AJ121:AS121"/>
    <mergeCell ref="E125:P125"/>
    <mergeCell ref="AT145:AU145"/>
    <mergeCell ref="AQ181:BB181"/>
    <mergeCell ref="C173:AT173"/>
    <mergeCell ref="C175:AT175"/>
    <mergeCell ref="B177:AT177"/>
    <mergeCell ref="B179:BJ179"/>
    <mergeCell ref="AB147:AH147"/>
    <mergeCell ref="AB149:AH149"/>
    <mergeCell ref="AJ149:AS149"/>
    <mergeCell ref="AT149:AU149"/>
    <mergeCell ref="AV149:BJ149"/>
    <mergeCell ref="AJ147:AS147"/>
    <mergeCell ref="AT147:AU147"/>
    <mergeCell ref="AV147:BJ147"/>
    <mergeCell ref="AJ157:AS157"/>
    <mergeCell ref="AT155:AU155"/>
    <mergeCell ref="AV177:BJ177"/>
    <mergeCell ref="O181:V181"/>
    <mergeCell ref="AI181:AP181"/>
    <mergeCell ref="BC181:BJ181"/>
    <mergeCell ref="C149:V149"/>
    <mergeCell ref="C157:X157"/>
    <mergeCell ref="Y157:AH157"/>
    <mergeCell ref="AV157:BJ157"/>
    <mergeCell ref="C181:N181"/>
    <mergeCell ref="W181:AH181"/>
    <mergeCell ref="AT157:AU157"/>
    <mergeCell ref="AV165:BJ165"/>
    <mergeCell ref="AV167:BJ167"/>
    <mergeCell ref="AV169:BJ169"/>
    <mergeCell ref="AV171:BJ171"/>
    <mergeCell ref="C165:AT165"/>
    <mergeCell ref="C167:AT167"/>
    <mergeCell ref="C169:AT169"/>
    <mergeCell ref="C171:AT171"/>
    <mergeCell ref="B163:BJ163"/>
    <mergeCell ref="C159:AH159"/>
    <mergeCell ref="AJ159:AS159"/>
    <mergeCell ref="AT159:AU159"/>
    <mergeCell ref="AV159:BJ159"/>
    <mergeCell ref="AV173:BJ173"/>
    <mergeCell ref="AV175:BJ175"/>
    <mergeCell ref="AI182:AP182"/>
    <mergeCell ref="AQ182:AX182"/>
    <mergeCell ref="AY182:BB182"/>
    <mergeCell ref="BC182:BJ182"/>
    <mergeCell ref="O182:V182"/>
    <mergeCell ref="C183:J183"/>
    <mergeCell ref="K183:N183"/>
    <mergeCell ref="W183:AD183"/>
    <mergeCell ref="AE183:AH183"/>
    <mergeCell ref="AI183:AP183"/>
    <mergeCell ref="C182:J182"/>
    <mergeCell ref="K182:N182"/>
    <mergeCell ref="W182:AD182"/>
    <mergeCell ref="AE182:AH182"/>
    <mergeCell ref="C184:J184"/>
    <mergeCell ref="K184:N184"/>
    <mergeCell ref="W184:AD184"/>
    <mergeCell ref="AE184:AH184"/>
    <mergeCell ref="AI184:AP184"/>
    <mergeCell ref="BC184:BJ184"/>
    <mergeCell ref="O184:V184"/>
    <mergeCell ref="AQ184:BB184"/>
    <mergeCell ref="B188:AT188"/>
    <mergeCell ref="AV188:BJ188"/>
    <mergeCell ref="C186:J186"/>
    <mergeCell ref="K186:N186"/>
    <mergeCell ref="W186:AD186"/>
    <mergeCell ref="AE186:AH186"/>
    <mergeCell ref="AI186:AP186"/>
    <mergeCell ref="BC186:BJ186"/>
    <mergeCell ref="O186:V186"/>
    <mergeCell ref="AQ186:BB186"/>
    <mergeCell ref="B1:BJ1"/>
    <mergeCell ref="B2:BJ2"/>
    <mergeCell ref="B3:BJ3"/>
    <mergeCell ref="X204:AJ204"/>
    <mergeCell ref="C193:BI193"/>
    <mergeCell ref="C194:BI194"/>
    <mergeCell ref="B200:F200"/>
    <mergeCell ref="B202:F202"/>
    <mergeCell ref="H202:S202"/>
    <mergeCell ref="AF202:AM202"/>
    <mergeCell ref="AF200:AM200"/>
    <mergeCell ref="AO200:BI200"/>
    <mergeCell ref="AO202:BI202"/>
    <mergeCell ref="C195:X195"/>
    <mergeCell ref="Y195:AG195"/>
    <mergeCell ref="AF198:AM198"/>
    <mergeCell ref="C185:J185"/>
    <mergeCell ref="K185:N185"/>
    <mergeCell ref="W185:AD185"/>
    <mergeCell ref="AE185:AH185"/>
    <mergeCell ref="AI185:AP185"/>
    <mergeCell ref="BC185:BJ185"/>
    <mergeCell ref="O185:V185"/>
    <mergeCell ref="AQ185:BB185"/>
    <mergeCell ref="BR6:BU7"/>
    <mergeCell ref="BQ8:BU9"/>
    <mergeCell ref="BQ10:BV11"/>
    <mergeCell ref="BR14:BV14"/>
    <mergeCell ref="BR15:BV15"/>
    <mergeCell ref="BR16:BV16"/>
    <mergeCell ref="BQ18:BV21"/>
    <mergeCell ref="BQ12:BV13"/>
    <mergeCell ref="BP141:BV141"/>
    <mergeCell ref="BP113:BW113"/>
    <mergeCell ref="BL99:BV101"/>
    <mergeCell ref="BP114:BX116"/>
    <mergeCell ref="BP122:BX124"/>
    <mergeCell ref="BP137:BW137"/>
    <mergeCell ref="BP76:BW81"/>
    <mergeCell ref="BL106:BV108"/>
    <mergeCell ref="BL104:BV105"/>
    <mergeCell ref="BP128:BW129"/>
    <mergeCell ref="BP125:BY127"/>
    <mergeCell ref="BP38:BW41"/>
    <mergeCell ref="BP42:BW45"/>
    <mergeCell ref="BP58:BX60"/>
    <mergeCell ref="BP159:BW159"/>
    <mergeCell ref="B9:AG9"/>
    <mergeCell ref="B32:AF32"/>
    <mergeCell ref="AO206:BI207"/>
    <mergeCell ref="BP157:BW157"/>
    <mergeCell ref="BP130:BW131"/>
    <mergeCell ref="BP135:BW135"/>
    <mergeCell ref="BP139:BW139"/>
    <mergeCell ref="BP155:BW155"/>
    <mergeCell ref="BP160:BW162"/>
    <mergeCell ref="BP147:BW147"/>
    <mergeCell ref="BP149:BW149"/>
    <mergeCell ref="BP144:BW146"/>
    <mergeCell ref="BP143:BV143"/>
    <mergeCell ref="B190:BJ190"/>
    <mergeCell ref="C192:D192"/>
    <mergeCell ref="E192:Y192"/>
    <mergeCell ref="AZ192:BJ192"/>
    <mergeCell ref="Z192:AH192"/>
    <mergeCell ref="AI192:AY192"/>
    <mergeCell ref="AQ183:AX183"/>
    <mergeCell ref="AY183:BB183"/>
    <mergeCell ref="BC183:BJ183"/>
    <mergeCell ref="O183:V183"/>
  </mergeCells>
  <dataValidations xWindow="592" yWindow="583" count="19">
    <dataValidation type="list" allowBlank="1" showInputMessage="1" showErrorMessage="1" errorTitle="Payment Mode" error="Please Select Payment Mode" promptTitle="Payment Mode" prompt="Please Select Payment Mode" sqref="Z113:AG113 Z125:AG125 Z121:AG121 AB147 AB149:AB153 AB143 AB141" xr:uid="{00000000-0002-0000-0000-000001000000}">
      <formula1>"Select, Cash, Other than Cash"</formula1>
    </dataValidation>
    <dataValidation type="list" allowBlank="1" showInputMessage="1" showErrorMessage="1" errorTitle="Senior Citizen" error="Please select an option" promptTitle="Senior citizen" prompt="Please select the option" sqref="AN118:AS118 AC119" xr:uid="{00000000-0002-0000-0000-000002000000}">
      <formula1>"Select, Yes, No"</formula1>
    </dataValidation>
    <dataValidation type="list" allowBlank="1" showInputMessage="1" showErrorMessage="1" sqref="Y129:AH129" xr:uid="{00000000-0002-0000-0000-000003000000}">
      <formula1>"Select, Dependent Person with Disability, Dependent Person with Severe Disability"</formula1>
    </dataValidation>
    <dataValidation type="list" allowBlank="1" showInputMessage="1" showErrorMessage="1" sqref="Y131:AH131" xr:uid="{00000000-0002-0000-0000-000004000000}">
      <formula1>"Select, Self or Dependent, Self or Dependent - Senior Citizen"</formula1>
    </dataValidation>
    <dataValidation type="whole" operator="greaterThan" allowBlank="1" showInputMessage="1" showErrorMessage="1" errorTitle="Home Loan" error="Please enter a valid amount." promptTitle="Home Loan Interest Amount" prompt="Please enter the home loan interest amount." sqref="AV58:BJ58" xr:uid="{E0F3F647-6FE6-4AD6-AE71-B4EC7CE14CF4}">
      <formula1>0</formula1>
    </dataValidation>
    <dataValidation type="whole" operator="greaterThan" allowBlank="1" showInputMessage="1" showErrorMessage="1" errorTitle="Interest from Saving Account" error="Please enter a valid amount." promptTitle="Interest from Saving Account" prompt="Please enter the interest received from saving account." sqref="AV64:BJ64" xr:uid="{120DBCE4-8115-4006-B8F0-91F6CBFBD37D}">
      <formula1>0</formula1>
    </dataValidation>
    <dataValidation type="whole" operator="greaterThan" allowBlank="1" showInputMessage="1" showErrorMessage="1" errorTitle="Interest from Deposit" error="Please enter a valid amount." promptTitle="Interest from Time Deposit" prompt="Please enter the interest received from the time deposit." sqref="AV66:BJ66" xr:uid="{403C0BBA-852A-4B98-86D9-1937B1DEC967}">
      <formula1>0</formula1>
    </dataValidation>
    <dataValidation type="whole" operator="greaterThan" allowBlank="1" showInputMessage="1" showErrorMessage="1" errorTitle="Interest from Income Tax Refund" error="Please enter a valid amount." promptTitle="Interest from Income Tax Refund" prompt="Please enter the interest received from the income tax refund." sqref="AV68:BJ68" xr:uid="{A38755AC-4B22-47DF-B4DC-2EDCA208D067}">
      <formula1>0</formula1>
    </dataValidation>
    <dataValidation type="whole" operator="greaterThan" allowBlank="1" showInputMessage="1" showErrorMessage="1" errorTitle="Any other" error="Please enter a valid amount." sqref="AV70:BJ70" xr:uid="{3E83015B-68A6-431B-92BE-C8E3BE93E978}">
      <formula1>0</formula1>
    </dataValidation>
    <dataValidation type="whole" operator="greaterThan" allowBlank="1" showInputMessage="1" showErrorMessage="1" error="Please enter a valid amount." sqref="AJ146:AS146 AJ148:AS148" xr:uid="{220967A8-662C-4B83-BE81-54186CE37462}">
      <formula1>1</formula1>
    </dataValidation>
    <dataValidation type="whole" operator="greaterThan" allowBlank="1" showInputMessage="1" showErrorMessage="1" error="Please enter a valid amount" sqref="BC34:BJ34 AK42:AT42 AK40:AT40 AJ105:AS105 V26:AE26 V28:AE30 N34:U34 AH34:AO34 BA30:BJ30" xr:uid="{5731C682-A94C-4C27-927B-F238555019B8}">
      <formula1>0</formula1>
    </dataValidation>
    <dataValidation type="whole" operator="greaterThanOrEqual" allowBlank="1" showInputMessage="1" showErrorMessage="1" errorTitle="TDS" error="Please enter a valid amount." promptTitle="TDS" prompt="Please enter the TDS amount." sqref="BC184:BJ185 BC182:BJ182 O182:V186 AI182:AP186" xr:uid="{22EDF32F-C619-42D9-815F-4F67FFE9F1EA}">
      <formula1>0</formula1>
    </dataValidation>
    <dataValidation type="list" allowBlank="1" showInputMessage="1" showErrorMessage="1" sqref="Y158:AH158" xr:uid="{AA47907F-DA7D-4B45-8173-7B07CC5200B7}">
      <formula1>"Select, Person with Disability, Person with Severe Disability"</formula1>
    </dataValidation>
    <dataValidation type="list" showInputMessage="1" showErrorMessage="1" sqref="AQ184:BB185" xr:uid="{824D0EDE-9778-4073-BF24-7F7A46342B71}">
      <formula1>"',Tax on Salary Arrears, Any other TDS"</formula1>
    </dataValidation>
    <dataValidation type="list" allowBlank="1" showInputMessage="1" showErrorMessage="1" sqref="N141:V141 N143:V143" xr:uid="{1FFC950C-337D-4210-AF63-B70151DCCC33}">
      <formula1>"Select Donation Type, 100% deduction without limit,50% deduction without limit, 100% deduction with limit,50% deduction with limit"</formula1>
    </dataValidation>
    <dataValidation type="list" allowBlank="1" showInputMessage="1" showErrorMessage="1" sqref="Y157:AH157" xr:uid="{C2607C6D-99BA-47D9-98FC-0EF79A2E2789}">
      <formula1>"Select, Self with Disability, Self with Severe Disability"</formula1>
    </dataValidation>
    <dataValidation type="whole" operator="greaterThan" allowBlank="1" showInputMessage="1" showErrorMessage="1" errorTitle="Earned Leave Surrender" error="Please enter a valid amount." promptTitle="Earned Leave Surrender" prompt="Please enter the Earned Leave Surrender amount." sqref="N26:T26" xr:uid="{A0E5A8EF-7A9D-47F0-9B1A-2639E9161DE5}">
      <formula1>1</formula1>
    </dataValidation>
    <dataValidation type="whole" operator="greaterThan" allowBlank="1" showInputMessage="1" showErrorMessage="1" error="Please enter a valid amount." sqref="AJ89:AS89 AJ91:AS91 AJ93:AS93 AJ95:AS95 AJ97:AS97 AJ101:AS101 AJ113:AS113 AJ115:AS115 AJ121:AS121 AJ123:AS123 AJ125:AS125 AJ129:AS129 AJ131:AS131 AJ133:AS133 AJ135:AS135 AJ137:AS137 AJ139:AS139 AJ141:AS141 AJ143:AS143 AJ145:AS145 AJ147:AS147 AJ149:AS153" xr:uid="{99E2F5A3-1032-408B-8954-75E181D16729}">
      <formula1>0</formula1>
    </dataValidation>
    <dataValidation type="list" allowBlank="1" showInputMessage="1" showErrorMessage="1" promptTitle="Please select an option" prompt="Please select an option" sqref="AS56:AY56" xr:uid="{68357E2A-ED57-4107-8D1F-148661FCC4A6}">
      <formula1>"Select, Yes, No"</formula1>
    </dataValidation>
  </dataValidations>
  <pageMargins left="0.39370078740157483" right="0" top="0.23622047244094491" bottom="0.15748031496062992" header="0" footer="0"/>
  <pageSetup paperSize="9" orientation="portrait" blackAndWhite="1" errors="blank" r:id="rId1"/>
  <headerFooter>
    <oddFooter>&amp;CPage &amp;P of &amp;N</oddFooter>
  </headerFooter>
  <ignoredErrors>
    <ignoredError sqref="I22:J22"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ABF7F-F67D-46DD-8E97-8B3EDE4BDC15}">
  <dimension ref="B2:BA104"/>
  <sheetViews>
    <sheetView showGridLines="0" showRowColHeaders="0" zoomScaleNormal="100" workbookViewId="0">
      <selection activeCell="U13" sqref="U13:AN13"/>
    </sheetView>
  </sheetViews>
  <sheetFormatPr defaultColWidth="9.109375" defaultRowHeight="14.4" x14ac:dyDescent="0.3"/>
  <cols>
    <col min="1" max="1" width="5" customWidth="1"/>
    <col min="2" max="42" width="2.109375" customWidth="1"/>
    <col min="47" max="47" width="9.6640625" customWidth="1"/>
  </cols>
  <sheetData>
    <row r="2" spans="2:50" ht="17.399999999999999" x14ac:dyDescent="0.3">
      <c r="B2" s="345" t="s">
        <v>74</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58"/>
      <c r="AP2" s="58"/>
      <c r="AR2" s="289" t="s">
        <v>142</v>
      </c>
      <c r="AS2" s="289"/>
      <c r="AT2" s="289"/>
      <c r="AU2" s="289"/>
      <c r="AV2" s="289"/>
      <c r="AW2" s="289"/>
    </row>
    <row r="3" spans="2:50" ht="15" customHeight="1" x14ac:dyDescent="0.3">
      <c r="B3" s="346" t="s">
        <v>39</v>
      </c>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60"/>
      <c r="AP3" s="60"/>
      <c r="AR3" s="289"/>
      <c r="AS3" s="289"/>
      <c r="AT3" s="289"/>
      <c r="AU3" s="289"/>
      <c r="AV3" s="289"/>
      <c r="AW3" s="289"/>
    </row>
    <row r="4" spans="2:50" ht="15" customHeight="1" x14ac:dyDescent="0.3">
      <c r="B4" s="59"/>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R4" s="115"/>
      <c r="AS4" s="115"/>
      <c r="AT4" s="115"/>
      <c r="AU4" s="115"/>
      <c r="AV4" s="115"/>
      <c r="AW4" s="115"/>
    </row>
    <row r="5" spans="2:50" ht="15" customHeight="1" x14ac:dyDescent="0.3">
      <c r="B5" s="346" t="s">
        <v>209</v>
      </c>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c r="AM5" s="346"/>
      <c r="AN5" s="346"/>
      <c r="AO5" s="59"/>
      <c r="AP5" s="59"/>
      <c r="AR5" s="337" t="s">
        <v>20</v>
      </c>
      <c r="AS5" s="337"/>
      <c r="AT5" s="337"/>
      <c r="AU5" s="61"/>
    </row>
    <row r="6" spans="2:50" ht="17.399999999999999" x14ac:dyDescent="0.3">
      <c r="B6" s="59"/>
      <c r="C6" s="60"/>
      <c r="D6" s="346" t="s">
        <v>228</v>
      </c>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4"/>
      <c r="AP6" s="14"/>
      <c r="AR6" s="337"/>
      <c r="AS6" s="337"/>
      <c r="AT6" s="337"/>
    </row>
    <row r="7" spans="2:50" ht="15" customHeight="1" x14ac:dyDescent="0.3">
      <c r="B7" s="346" t="s">
        <v>210</v>
      </c>
      <c r="C7" s="346"/>
      <c r="D7" s="346"/>
      <c r="E7" s="346"/>
      <c r="F7" s="346"/>
      <c r="G7" s="346"/>
      <c r="H7" s="346"/>
      <c r="I7" s="346"/>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6"/>
      <c r="AJ7" s="346"/>
      <c r="AK7" s="346"/>
      <c r="AL7" s="346"/>
      <c r="AM7" s="346"/>
      <c r="AN7" s="346"/>
      <c r="AO7" s="59"/>
      <c r="AP7" s="59"/>
      <c r="AS7" s="160" t="s">
        <v>121</v>
      </c>
      <c r="AT7" s="160"/>
      <c r="AU7" s="160"/>
      <c r="AV7" s="160"/>
    </row>
    <row r="8" spans="2:50" ht="15" customHeight="1" x14ac:dyDescent="0.3">
      <c r="B8" s="346" t="s">
        <v>40</v>
      </c>
      <c r="C8" s="346"/>
      <c r="D8" s="346"/>
      <c r="E8" s="346"/>
      <c r="F8" s="346"/>
      <c r="G8" s="346"/>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c r="AJ8" s="346"/>
      <c r="AK8" s="346"/>
      <c r="AL8" s="346"/>
      <c r="AM8" s="346"/>
      <c r="AN8" s="346"/>
      <c r="AO8" s="59"/>
      <c r="AP8" s="59"/>
      <c r="AS8" s="160"/>
      <c r="AT8" s="160"/>
      <c r="AU8" s="160"/>
      <c r="AV8" s="160"/>
    </row>
    <row r="9" spans="2:50" ht="15" customHeight="1" x14ac:dyDescent="0.3">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R9" s="337" t="s">
        <v>21</v>
      </c>
      <c r="AS9" s="337"/>
      <c r="AT9" s="337"/>
      <c r="AU9" s="337"/>
      <c r="AV9" s="337"/>
      <c r="AW9" s="61"/>
      <c r="AX9" s="61"/>
    </row>
    <row r="10" spans="2:50" ht="15" customHeight="1" x14ac:dyDescent="0.3">
      <c r="B10" s="1"/>
      <c r="C10" s="348" t="s">
        <v>38</v>
      </c>
      <c r="D10" s="349"/>
      <c r="E10" s="349"/>
      <c r="F10" s="349"/>
      <c r="G10" s="349"/>
      <c r="H10" s="349"/>
      <c r="I10" s="349"/>
      <c r="J10" s="349"/>
      <c r="K10" s="349"/>
      <c r="L10" s="349"/>
      <c r="M10" s="349"/>
      <c r="N10" s="349"/>
      <c r="O10" s="349"/>
      <c r="P10" s="349"/>
      <c r="Q10" s="349"/>
      <c r="R10" s="349"/>
      <c r="S10" s="349"/>
      <c r="T10" s="349"/>
      <c r="U10" s="349"/>
      <c r="V10" s="349"/>
      <c r="W10" s="349"/>
      <c r="X10" s="349"/>
      <c r="Y10" s="349"/>
      <c r="Z10" s="349"/>
      <c r="AA10" s="349"/>
      <c r="AB10" s="349"/>
      <c r="AC10" s="349"/>
      <c r="AD10" s="349"/>
      <c r="AE10" s="349"/>
      <c r="AF10" s="349"/>
      <c r="AG10" s="349"/>
      <c r="AH10" s="349"/>
      <c r="AI10" s="349"/>
      <c r="AJ10" s="349"/>
      <c r="AK10" s="349"/>
      <c r="AL10" s="349"/>
      <c r="AM10" s="349"/>
      <c r="AN10" s="349"/>
      <c r="AO10" s="1"/>
      <c r="AP10" s="1"/>
      <c r="AR10" s="337"/>
      <c r="AS10" s="337"/>
      <c r="AT10" s="337"/>
      <c r="AU10" s="337"/>
      <c r="AV10" s="337"/>
      <c r="AW10" s="61"/>
      <c r="AX10" s="61"/>
    </row>
    <row r="11" spans="2:50" ht="15" customHeight="1" x14ac:dyDescent="0.3">
      <c r="B11" s="1"/>
      <c r="C11" s="350">
        <v>1</v>
      </c>
      <c r="D11" s="350" t="s">
        <v>80</v>
      </c>
      <c r="E11" s="252"/>
      <c r="F11" s="252"/>
      <c r="G11" s="252"/>
      <c r="H11" s="252"/>
      <c r="I11" s="252"/>
      <c r="J11" s="252"/>
      <c r="K11" s="252"/>
      <c r="L11" s="252"/>
      <c r="M11" s="252"/>
      <c r="N11" s="252"/>
      <c r="O11" s="252"/>
      <c r="P11" s="252"/>
      <c r="Q11" s="252"/>
      <c r="R11" s="252"/>
      <c r="S11" s="352"/>
      <c r="T11" s="10" t="s">
        <v>5</v>
      </c>
      <c r="U11" s="353" t="str">
        <f>IF(ISBLANK('Basic Information'!L6)," ",PROPER('Basic Information'!L6))</f>
        <v xml:space="preserve"> </v>
      </c>
      <c r="V11" s="353"/>
      <c r="W11" s="353"/>
      <c r="X11" s="353"/>
      <c r="Y11" s="353"/>
      <c r="Z11" s="353"/>
      <c r="AA11" s="353"/>
      <c r="AB11" s="353"/>
      <c r="AC11" s="353"/>
      <c r="AD11" s="353"/>
      <c r="AE11" s="353"/>
      <c r="AF11" s="353"/>
      <c r="AG11" s="353"/>
      <c r="AH11" s="353"/>
      <c r="AI11" s="353"/>
      <c r="AJ11" s="353"/>
      <c r="AK11" s="353"/>
      <c r="AL11" s="353"/>
      <c r="AM11" s="353"/>
      <c r="AN11" s="353"/>
      <c r="AO11" s="59"/>
      <c r="AP11" s="59"/>
      <c r="AR11" s="164" t="s">
        <v>120</v>
      </c>
      <c r="AS11" s="164"/>
      <c r="AT11" s="164"/>
      <c r="AU11" s="164"/>
      <c r="AV11" s="164"/>
      <c r="AW11" s="164"/>
      <c r="AX11" s="62"/>
    </row>
    <row r="12" spans="2:50" ht="15" customHeight="1" x14ac:dyDescent="0.3">
      <c r="B12" s="1"/>
      <c r="C12" s="350"/>
      <c r="D12" s="354" t="s">
        <v>136</v>
      </c>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59"/>
      <c r="AP12" s="59"/>
      <c r="AR12" s="164"/>
      <c r="AS12" s="164"/>
      <c r="AT12" s="164"/>
      <c r="AU12" s="164"/>
      <c r="AV12" s="164"/>
      <c r="AW12" s="164"/>
      <c r="AX12" s="62"/>
    </row>
    <row r="13" spans="2:50" ht="15" customHeight="1" x14ac:dyDescent="0.3">
      <c r="B13" s="1"/>
      <c r="C13" s="350"/>
      <c r="D13" s="350" t="s">
        <v>109</v>
      </c>
      <c r="E13" s="252"/>
      <c r="F13" s="252"/>
      <c r="G13" s="252"/>
      <c r="H13" s="252"/>
      <c r="I13" s="252"/>
      <c r="J13" s="252"/>
      <c r="K13" s="252"/>
      <c r="L13" s="252"/>
      <c r="M13" s="252"/>
      <c r="N13" s="252"/>
      <c r="O13" s="252"/>
      <c r="P13" s="252"/>
      <c r="Q13" s="252"/>
      <c r="R13" s="252"/>
      <c r="S13" s="352"/>
      <c r="T13" s="10" t="s">
        <v>5</v>
      </c>
      <c r="U13" s="357"/>
      <c r="V13" s="357"/>
      <c r="W13" s="357"/>
      <c r="X13" s="357"/>
      <c r="Y13" s="357"/>
      <c r="Z13" s="357"/>
      <c r="AA13" s="357"/>
      <c r="AB13" s="357"/>
      <c r="AC13" s="357"/>
      <c r="AD13" s="357"/>
      <c r="AE13" s="357"/>
      <c r="AF13" s="357"/>
      <c r="AG13" s="357"/>
      <c r="AH13" s="357"/>
      <c r="AI13" s="357"/>
      <c r="AJ13" s="357"/>
      <c r="AK13" s="357"/>
      <c r="AL13" s="357"/>
      <c r="AM13" s="357"/>
      <c r="AN13" s="357"/>
      <c r="AO13" s="1"/>
      <c r="AP13" s="1"/>
      <c r="AR13" s="127" t="s">
        <v>36</v>
      </c>
      <c r="AS13" s="127"/>
      <c r="AT13" s="127"/>
      <c r="AU13" s="127"/>
      <c r="AV13" s="127"/>
      <c r="AW13" s="127"/>
      <c r="AX13" s="62"/>
    </row>
    <row r="14" spans="2:50" ht="15" customHeight="1" x14ac:dyDescent="0.3">
      <c r="B14" s="1"/>
      <c r="C14" s="350"/>
      <c r="D14" s="350" t="s">
        <v>110</v>
      </c>
      <c r="E14" s="252"/>
      <c r="F14" s="252"/>
      <c r="G14" s="252"/>
      <c r="H14" s="252"/>
      <c r="I14" s="252"/>
      <c r="J14" s="252"/>
      <c r="K14" s="252"/>
      <c r="L14" s="252"/>
      <c r="M14" s="252"/>
      <c r="N14" s="252"/>
      <c r="O14" s="252"/>
      <c r="P14" s="252"/>
      <c r="Q14" s="252"/>
      <c r="R14" s="252"/>
      <c r="S14" s="352"/>
      <c r="T14" s="10" t="s">
        <v>5</v>
      </c>
      <c r="U14" s="355"/>
      <c r="V14" s="356"/>
      <c r="W14" s="356"/>
      <c r="X14" s="356"/>
      <c r="Y14" s="356"/>
      <c r="Z14" s="356"/>
      <c r="AA14" s="356"/>
      <c r="AB14" s="356"/>
      <c r="AC14" s="356"/>
      <c r="AD14" s="356"/>
      <c r="AE14" s="356"/>
      <c r="AF14" s="356"/>
      <c r="AG14" s="356"/>
      <c r="AH14" s="356"/>
      <c r="AI14" s="356"/>
      <c r="AJ14" s="356"/>
      <c r="AK14" s="356"/>
      <c r="AL14" s="356"/>
      <c r="AM14" s="356"/>
      <c r="AN14" s="356"/>
      <c r="AO14" s="1"/>
      <c r="AP14" s="1"/>
      <c r="AR14" s="127"/>
      <c r="AS14" s="127"/>
      <c r="AT14" s="127"/>
      <c r="AU14" s="127"/>
      <c r="AV14" s="127"/>
      <c r="AW14" s="127"/>
      <c r="AX14" s="62"/>
    </row>
    <row r="15" spans="2:50" ht="15" customHeight="1" x14ac:dyDescent="0.3">
      <c r="B15" s="1"/>
      <c r="C15" s="350"/>
      <c r="D15" s="350" t="s">
        <v>108</v>
      </c>
      <c r="E15" s="252"/>
      <c r="F15" s="252"/>
      <c r="G15" s="252"/>
      <c r="H15" s="252"/>
      <c r="I15" s="252"/>
      <c r="J15" s="252"/>
      <c r="K15" s="252"/>
      <c r="L15" s="252"/>
      <c r="M15" s="252"/>
      <c r="N15" s="252"/>
      <c r="O15" s="252"/>
      <c r="P15" s="252"/>
      <c r="Q15" s="252"/>
      <c r="R15" s="252"/>
      <c r="S15" s="352"/>
      <c r="T15" s="10" t="s">
        <v>5</v>
      </c>
      <c r="U15" s="357"/>
      <c r="V15" s="358"/>
      <c r="W15" s="358"/>
      <c r="X15" s="358"/>
      <c r="Y15" s="358"/>
      <c r="Z15" s="358"/>
      <c r="AA15" s="358"/>
      <c r="AB15" s="358"/>
      <c r="AC15" s="358"/>
      <c r="AD15" s="358"/>
      <c r="AE15" s="358"/>
      <c r="AF15" s="358"/>
      <c r="AG15" s="358"/>
      <c r="AH15" s="358"/>
      <c r="AI15" s="358"/>
      <c r="AJ15" s="358"/>
      <c r="AK15" s="358"/>
      <c r="AL15" s="358"/>
      <c r="AM15" s="358"/>
      <c r="AN15" s="358"/>
      <c r="AO15" s="1"/>
      <c r="AP15" s="1"/>
      <c r="AS15" s="338" t="s">
        <v>22</v>
      </c>
      <c r="AT15" s="338"/>
      <c r="AU15" s="338"/>
      <c r="AV15" s="338"/>
      <c r="AW15" s="338"/>
      <c r="AX15" s="62"/>
    </row>
    <row r="16" spans="2:50" ht="15" customHeight="1" x14ac:dyDescent="0.3">
      <c r="B16" s="1"/>
      <c r="C16" s="350"/>
      <c r="D16" s="350" t="s">
        <v>107</v>
      </c>
      <c r="E16" s="252"/>
      <c r="F16" s="252"/>
      <c r="G16" s="252"/>
      <c r="H16" s="252"/>
      <c r="I16" s="252"/>
      <c r="J16" s="252"/>
      <c r="K16" s="252"/>
      <c r="L16" s="252"/>
      <c r="M16" s="252"/>
      <c r="N16" s="252"/>
      <c r="O16" s="252"/>
      <c r="P16" s="252"/>
      <c r="Q16" s="252"/>
      <c r="R16" s="252"/>
      <c r="S16" s="352"/>
      <c r="T16" s="10" t="s">
        <v>5</v>
      </c>
      <c r="U16" s="355"/>
      <c r="V16" s="356"/>
      <c r="W16" s="356"/>
      <c r="X16" s="356"/>
      <c r="Y16" s="356"/>
      <c r="Z16" s="356"/>
      <c r="AA16" s="356"/>
      <c r="AB16" s="356"/>
      <c r="AC16" s="356"/>
      <c r="AD16" s="356"/>
      <c r="AE16" s="356"/>
      <c r="AF16" s="356"/>
      <c r="AG16" s="356"/>
      <c r="AH16" s="356"/>
      <c r="AI16" s="356"/>
      <c r="AJ16" s="356"/>
      <c r="AK16" s="356"/>
      <c r="AL16" s="356"/>
      <c r="AM16" s="356"/>
      <c r="AN16" s="356"/>
      <c r="AO16" s="1"/>
      <c r="AP16" s="1"/>
      <c r="AS16" s="339" t="s">
        <v>23</v>
      </c>
      <c r="AT16" s="339"/>
      <c r="AU16" s="339"/>
      <c r="AV16" s="340"/>
      <c r="AW16" s="341"/>
      <c r="AX16" s="62"/>
    </row>
    <row r="17" spans="2:51" ht="15" customHeight="1" x14ac:dyDescent="0.3">
      <c r="B17" s="1"/>
      <c r="C17" s="350"/>
      <c r="D17" s="350" t="s">
        <v>106</v>
      </c>
      <c r="E17" s="252"/>
      <c r="F17" s="252"/>
      <c r="G17" s="252"/>
      <c r="H17" s="252"/>
      <c r="I17" s="252"/>
      <c r="J17" s="252"/>
      <c r="K17" s="252"/>
      <c r="L17" s="252"/>
      <c r="M17" s="252"/>
      <c r="N17" s="252"/>
      <c r="O17" s="252"/>
      <c r="P17" s="252"/>
      <c r="Q17" s="252"/>
      <c r="R17" s="252"/>
      <c r="S17" s="352"/>
      <c r="T17" s="10" t="s">
        <v>5</v>
      </c>
      <c r="U17" s="357"/>
      <c r="V17" s="358"/>
      <c r="W17" s="358"/>
      <c r="X17" s="358"/>
      <c r="Y17" s="358"/>
      <c r="Z17" s="358"/>
      <c r="AA17" s="358"/>
      <c r="AB17" s="358"/>
      <c r="AC17" s="358"/>
      <c r="AD17" s="358"/>
      <c r="AE17" s="358"/>
      <c r="AF17" s="358"/>
      <c r="AG17" s="358"/>
      <c r="AH17" s="358"/>
      <c r="AI17" s="358"/>
      <c r="AJ17" s="358"/>
      <c r="AK17" s="358"/>
      <c r="AL17" s="358"/>
      <c r="AM17" s="358"/>
      <c r="AN17" s="358"/>
      <c r="AO17" s="1"/>
      <c r="AP17" s="1"/>
      <c r="AU17" s="62"/>
      <c r="AV17" s="62"/>
      <c r="AW17" s="62"/>
      <c r="AX17" s="62"/>
    </row>
    <row r="18" spans="2:51" ht="15" customHeight="1" x14ac:dyDescent="0.3">
      <c r="B18" s="1"/>
      <c r="C18" s="350"/>
      <c r="D18" s="350" t="s">
        <v>81</v>
      </c>
      <c r="E18" s="252"/>
      <c r="F18" s="252"/>
      <c r="G18" s="252"/>
      <c r="H18" s="252"/>
      <c r="I18" s="252"/>
      <c r="J18" s="252"/>
      <c r="K18" s="252"/>
      <c r="L18" s="252"/>
      <c r="M18" s="252"/>
      <c r="N18" s="252"/>
      <c r="O18" s="252"/>
      <c r="P18" s="252"/>
      <c r="Q18" s="252"/>
      <c r="R18" s="252"/>
      <c r="S18" s="352"/>
      <c r="T18" s="10" t="s">
        <v>5</v>
      </c>
      <c r="U18" s="355"/>
      <c r="V18" s="358"/>
      <c r="W18" s="358"/>
      <c r="X18" s="358"/>
      <c r="Y18" s="358"/>
      <c r="Z18" s="358"/>
      <c r="AA18" s="358"/>
      <c r="AB18" s="358"/>
      <c r="AC18" s="358"/>
      <c r="AD18" s="358"/>
      <c r="AE18" s="358"/>
      <c r="AF18" s="358"/>
      <c r="AG18" s="358"/>
      <c r="AH18" s="358"/>
      <c r="AI18" s="358"/>
      <c r="AJ18" s="358"/>
      <c r="AK18" s="358"/>
      <c r="AL18" s="358"/>
      <c r="AM18" s="358"/>
      <c r="AN18" s="358"/>
      <c r="AO18" s="1"/>
      <c r="AP18" s="1"/>
      <c r="AR18" s="170" t="s">
        <v>134</v>
      </c>
      <c r="AS18" s="170"/>
      <c r="AT18" s="170"/>
      <c r="AU18" s="170"/>
      <c r="AV18" s="170"/>
      <c r="AW18" s="170"/>
      <c r="AX18" s="62"/>
    </row>
    <row r="19" spans="2:51" ht="15" customHeight="1" x14ac:dyDescent="0.3">
      <c r="B19" s="1"/>
      <c r="C19" s="351"/>
      <c r="D19" s="350" t="s">
        <v>137</v>
      </c>
      <c r="E19" s="252"/>
      <c r="F19" s="252"/>
      <c r="G19" s="252"/>
      <c r="H19" s="252"/>
      <c r="I19" s="252"/>
      <c r="J19" s="252"/>
      <c r="K19" s="252"/>
      <c r="L19" s="252"/>
      <c r="M19" s="252"/>
      <c r="N19" s="252"/>
      <c r="O19" s="252"/>
      <c r="P19" s="252"/>
      <c r="Q19" s="252"/>
      <c r="R19" s="252"/>
      <c r="S19" s="352"/>
      <c r="T19" s="10" t="s">
        <v>5</v>
      </c>
      <c r="U19" s="357"/>
      <c r="V19" s="357"/>
      <c r="W19" s="357"/>
      <c r="X19" s="357"/>
      <c r="Y19" s="357"/>
      <c r="Z19" s="357"/>
      <c r="AA19" s="357"/>
      <c r="AB19" s="357"/>
      <c r="AC19" s="357"/>
      <c r="AD19" s="357"/>
      <c r="AE19" s="357"/>
      <c r="AF19" s="357"/>
      <c r="AG19" s="357"/>
      <c r="AH19" s="357"/>
      <c r="AI19" s="357"/>
      <c r="AJ19" s="357"/>
      <c r="AK19" s="357"/>
      <c r="AL19" s="357"/>
      <c r="AM19" s="357"/>
      <c r="AN19" s="357"/>
      <c r="AO19" s="1"/>
      <c r="AP19" s="1"/>
      <c r="AR19" s="170"/>
      <c r="AS19" s="170"/>
      <c r="AT19" s="170"/>
      <c r="AU19" s="170"/>
      <c r="AV19" s="170"/>
      <c r="AW19" s="170"/>
    </row>
    <row r="20" spans="2:51" ht="15" customHeight="1" x14ac:dyDescent="0.3">
      <c r="B20" s="1"/>
      <c r="C20" s="9">
        <v>2</v>
      </c>
      <c r="D20" s="359" t="s">
        <v>41</v>
      </c>
      <c r="E20" s="359"/>
      <c r="F20" s="359"/>
      <c r="G20" s="359"/>
      <c r="H20" s="359"/>
      <c r="I20" s="359"/>
      <c r="J20" s="359"/>
      <c r="K20" s="359"/>
      <c r="L20" s="359"/>
      <c r="M20" s="359"/>
      <c r="N20" s="359"/>
      <c r="O20" s="359"/>
      <c r="P20" s="359"/>
      <c r="Q20" s="359"/>
      <c r="R20" s="359"/>
      <c r="S20" s="360"/>
      <c r="T20" s="11" t="s">
        <v>5</v>
      </c>
      <c r="U20" s="353" t="str">
        <f>IF(ISNONTEXT('Basic Information'!AK6)," ",UPPER('Basic Information'!AK6))</f>
        <v xml:space="preserve"> </v>
      </c>
      <c r="V20" s="353"/>
      <c r="W20" s="353"/>
      <c r="X20" s="353"/>
      <c r="Y20" s="353"/>
      <c r="Z20" s="353"/>
      <c r="AA20" s="353"/>
      <c r="AB20" s="353"/>
      <c r="AC20" s="353"/>
      <c r="AD20" s="353"/>
      <c r="AE20" s="353"/>
      <c r="AF20" s="353"/>
      <c r="AG20" s="353"/>
      <c r="AH20" s="353"/>
      <c r="AI20" s="353"/>
      <c r="AJ20" s="353"/>
      <c r="AK20" s="353"/>
      <c r="AL20" s="353"/>
      <c r="AM20" s="353"/>
      <c r="AN20" s="353"/>
      <c r="AO20" s="1"/>
      <c r="AP20" s="1"/>
      <c r="AR20" s="170"/>
      <c r="AS20" s="170"/>
      <c r="AT20" s="170"/>
      <c r="AU20" s="170"/>
      <c r="AV20" s="170"/>
      <c r="AW20" s="170"/>
    </row>
    <row r="21" spans="2:51" x14ac:dyDescent="0.3">
      <c r="B21" s="1"/>
      <c r="C21" s="9">
        <v>3</v>
      </c>
      <c r="D21" s="359" t="s">
        <v>42</v>
      </c>
      <c r="E21" s="359"/>
      <c r="F21" s="359"/>
      <c r="G21" s="359"/>
      <c r="H21" s="359"/>
      <c r="I21" s="359"/>
      <c r="J21" s="359"/>
      <c r="K21" s="359"/>
      <c r="L21" s="359"/>
      <c r="M21" s="359"/>
      <c r="N21" s="359"/>
      <c r="O21" s="359"/>
      <c r="P21" s="359"/>
      <c r="Q21" s="359"/>
      <c r="R21" s="359"/>
      <c r="S21" s="360"/>
      <c r="T21" s="11" t="s">
        <v>5</v>
      </c>
      <c r="U21" s="355"/>
      <c r="V21" s="355"/>
      <c r="W21" s="355"/>
      <c r="X21" s="355"/>
      <c r="Y21" s="355"/>
      <c r="Z21" s="355"/>
      <c r="AA21" s="355"/>
      <c r="AB21" s="355"/>
      <c r="AC21" s="355"/>
      <c r="AD21" s="355"/>
      <c r="AE21" s="355"/>
      <c r="AF21" s="355"/>
      <c r="AG21" s="355"/>
      <c r="AH21" s="355"/>
      <c r="AI21" s="355"/>
      <c r="AJ21" s="355"/>
      <c r="AK21" s="355"/>
      <c r="AL21" s="355"/>
      <c r="AM21" s="355"/>
      <c r="AN21" s="355"/>
      <c r="AO21" s="1"/>
      <c r="AP21" s="1"/>
      <c r="AR21" s="170"/>
      <c r="AS21" s="170"/>
      <c r="AT21" s="170"/>
      <c r="AU21" s="170"/>
      <c r="AV21" s="170"/>
      <c r="AW21" s="170"/>
      <c r="AX21" s="1"/>
    </row>
    <row r="22" spans="2:51" x14ac:dyDescent="0.3">
      <c r="B22" s="1"/>
      <c r="C22" s="9">
        <v>4</v>
      </c>
      <c r="D22" s="359" t="s">
        <v>44</v>
      </c>
      <c r="E22" s="359"/>
      <c r="F22" s="359"/>
      <c r="G22" s="359"/>
      <c r="H22" s="359"/>
      <c r="I22" s="359"/>
      <c r="J22" s="359"/>
      <c r="K22" s="359"/>
      <c r="L22" s="359"/>
      <c r="M22" s="359"/>
      <c r="N22" s="359"/>
      <c r="O22" s="359"/>
      <c r="P22" s="359"/>
      <c r="Q22" s="359"/>
      <c r="R22" s="359"/>
      <c r="S22" s="360"/>
      <c r="T22" s="11" t="s">
        <v>5</v>
      </c>
      <c r="U22" s="357"/>
      <c r="V22" s="357"/>
      <c r="W22" s="357"/>
      <c r="X22" s="357"/>
      <c r="Y22" s="357"/>
      <c r="Z22" s="357"/>
      <c r="AA22" s="357"/>
      <c r="AB22" s="357"/>
      <c r="AC22" s="357"/>
      <c r="AD22" s="357"/>
      <c r="AE22" s="357"/>
      <c r="AF22" s="357"/>
      <c r="AG22" s="357"/>
      <c r="AH22" s="357"/>
      <c r="AI22" s="357"/>
      <c r="AJ22" s="357"/>
      <c r="AK22" s="357"/>
      <c r="AL22" s="357"/>
      <c r="AM22" s="357"/>
      <c r="AN22" s="357"/>
      <c r="AO22" s="1"/>
      <c r="AP22" s="1"/>
      <c r="AQ22" s="86" t="str">
        <f>IF(AND(ISNUMBER(AF27), OR(ISBLANK(U22),U22="SELECT")),"Please select Gender","")</f>
        <v/>
      </c>
      <c r="AT22" s="1"/>
      <c r="AU22" s="1"/>
      <c r="AV22" s="1"/>
      <c r="AW22" s="1"/>
      <c r="AX22" s="1"/>
    </row>
    <row r="23" spans="2:51" x14ac:dyDescent="0.3">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T23" s="1"/>
      <c r="AU23" s="65"/>
      <c r="AV23" s="65"/>
      <c r="AW23" s="1"/>
      <c r="AX23" s="1"/>
    </row>
    <row r="24" spans="2:51" x14ac:dyDescent="0.3">
      <c r="B24" s="1"/>
      <c r="C24" s="347" t="s">
        <v>45</v>
      </c>
      <c r="D24" s="347"/>
      <c r="E24" s="347"/>
      <c r="F24" s="347"/>
      <c r="G24" s="347"/>
      <c r="H24" s="347"/>
      <c r="I24" s="347"/>
      <c r="J24" s="347"/>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7"/>
      <c r="AL24" s="347"/>
      <c r="AM24" s="347"/>
      <c r="AN24" s="347"/>
      <c r="AO24" s="60"/>
      <c r="AP24" s="60"/>
    </row>
    <row r="25" spans="2:51" x14ac:dyDescent="0.3">
      <c r="B25" s="1"/>
      <c r="C25" s="1"/>
      <c r="D25" s="1"/>
      <c r="E25" s="1"/>
      <c r="F25" s="1"/>
      <c r="G25" s="361" t="s">
        <v>225</v>
      </c>
      <c r="H25" s="362"/>
      <c r="I25" s="362"/>
      <c r="J25" s="362"/>
      <c r="K25" s="362"/>
      <c r="L25" s="362"/>
      <c r="M25" s="362"/>
      <c r="N25" s="362"/>
      <c r="O25" s="362"/>
      <c r="P25" s="362"/>
      <c r="Q25" s="362"/>
      <c r="R25" s="362"/>
      <c r="S25" s="362"/>
      <c r="T25" s="362"/>
      <c r="U25" s="362"/>
      <c r="V25" s="362"/>
      <c r="W25" s="362"/>
      <c r="X25" s="362"/>
      <c r="Y25" s="362"/>
      <c r="Z25" s="362"/>
      <c r="AA25" s="361" t="s">
        <v>157</v>
      </c>
      <c r="AB25" s="361"/>
      <c r="AC25" s="361"/>
      <c r="AD25" s="361"/>
      <c r="AE25" s="361"/>
      <c r="AF25" s="361"/>
      <c r="AG25" s="361"/>
      <c r="AH25" s="361"/>
      <c r="AI25" s="361"/>
      <c r="AJ25" s="361"/>
      <c r="AK25" s="361"/>
      <c r="AL25" s="361"/>
      <c r="AM25" s="1"/>
      <c r="AN25" s="1"/>
      <c r="AO25" s="1"/>
      <c r="AP25" s="1"/>
      <c r="AQ25" s="2" t="str">
        <f>IF(AND(NOT(ISBLANK(AF27)), OR(ISBLANK(AA25),AA25="SELECT")),"Please select a Assessement Year","")</f>
        <v/>
      </c>
    </row>
    <row r="26" spans="2:51" ht="15" customHeight="1" x14ac:dyDescent="0.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T26" s="56"/>
      <c r="AU26" s="57"/>
      <c r="AV26" s="57"/>
      <c r="AW26" s="57"/>
      <c r="AX26" s="57"/>
      <c r="AY26" s="57"/>
    </row>
    <row r="27" spans="2:51" ht="15" customHeight="1" x14ac:dyDescent="0.3">
      <c r="B27" s="1"/>
      <c r="C27" s="390">
        <v>1</v>
      </c>
      <c r="D27" s="390" t="s">
        <v>8</v>
      </c>
      <c r="E27" s="390"/>
      <c r="F27" s="372" t="s">
        <v>46</v>
      </c>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3"/>
      <c r="AE27" s="394"/>
      <c r="AF27" s="404"/>
      <c r="AG27" s="405"/>
      <c r="AH27" s="405"/>
      <c r="AI27" s="405"/>
      <c r="AJ27" s="405"/>
      <c r="AK27" s="405"/>
      <c r="AL27" s="405"/>
      <c r="AM27" s="405"/>
      <c r="AN27" s="406"/>
      <c r="AO27" s="3"/>
      <c r="AP27" s="88">
        <f>SUM('Income Tax Proforma - Old Schem'!N34,'Income Tax Proforma - Old Schem'!AH34,'Income Tax Proforma - Old Schem'!BC34)</f>
        <v>0</v>
      </c>
      <c r="AQ27" s="174" t="str">
        <f>IF(AF27&gt;AP27,"Please ensure that the salary received in arrears or in advance is included in section 'A2. Salary Arrear Statement' in the Income Tax Proforma-old schem sheet.","")</f>
        <v/>
      </c>
      <c r="AR27" s="174"/>
      <c r="AS27" s="174"/>
      <c r="AT27" s="174"/>
      <c r="AU27" s="174"/>
      <c r="AV27" s="174"/>
      <c r="AW27" s="174"/>
      <c r="AX27" s="174"/>
      <c r="AY27" s="53"/>
    </row>
    <row r="28" spans="2:51" ht="15" customHeight="1" x14ac:dyDescent="0.3">
      <c r="B28" s="1"/>
      <c r="C28" s="391"/>
      <c r="D28" s="391"/>
      <c r="E28" s="391"/>
      <c r="F28" s="395"/>
      <c r="G28" s="396"/>
      <c r="H28" s="396"/>
      <c r="I28" s="396"/>
      <c r="J28" s="396"/>
      <c r="K28" s="396"/>
      <c r="L28" s="396"/>
      <c r="M28" s="396"/>
      <c r="N28" s="396"/>
      <c r="O28" s="396"/>
      <c r="P28" s="396"/>
      <c r="Q28" s="396"/>
      <c r="R28" s="396"/>
      <c r="S28" s="396"/>
      <c r="T28" s="396"/>
      <c r="U28" s="396"/>
      <c r="V28" s="396"/>
      <c r="W28" s="396"/>
      <c r="X28" s="396"/>
      <c r="Y28" s="396"/>
      <c r="Z28" s="396"/>
      <c r="AA28" s="396"/>
      <c r="AB28" s="396"/>
      <c r="AC28" s="396"/>
      <c r="AD28" s="397"/>
      <c r="AE28" s="398"/>
      <c r="AF28" s="407"/>
      <c r="AG28" s="407"/>
      <c r="AH28" s="407"/>
      <c r="AI28" s="407"/>
      <c r="AJ28" s="407"/>
      <c r="AK28" s="407"/>
      <c r="AL28" s="407"/>
      <c r="AM28" s="407"/>
      <c r="AN28" s="408"/>
      <c r="AO28" s="3"/>
      <c r="AP28" s="3"/>
      <c r="AQ28" s="174"/>
      <c r="AR28" s="174"/>
      <c r="AS28" s="174"/>
      <c r="AT28" s="174"/>
      <c r="AU28" s="174"/>
      <c r="AV28" s="174"/>
      <c r="AW28" s="174"/>
      <c r="AX28" s="174"/>
      <c r="AY28" s="53"/>
    </row>
    <row r="29" spans="2:51" ht="15" customHeight="1" x14ac:dyDescent="0.3">
      <c r="B29" s="1"/>
      <c r="C29" s="363"/>
      <c r="D29" s="366" t="s">
        <v>9</v>
      </c>
      <c r="E29" s="367"/>
      <c r="F29" s="372" t="s">
        <v>75</v>
      </c>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4"/>
      <c r="AF29" s="399" t="s">
        <v>47</v>
      </c>
      <c r="AG29" s="409"/>
      <c r="AH29" s="409"/>
      <c r="AI29" s="409"/>
      <c r="AJ29" s="409"/>
      <c r="AK29" s="409"/>
      <c r="AL29" s="409"/>
      <c r="AM29" s="409"/>
      <c r="AN29" s="410"/>
      <c r="AO29" s="3"/>
      <c r="AP29" s="3"/>
      <c r="AT29" s="53"/>
      <c r="AU29" s="53"/>
      <c r="AV29" s="53"/>
      <c r="AW29" s="53"/>
      <c r="AX29" s="53"/>
      <c r="AY29" s="53"/>
    </row>
    <row r="30" spans="2:51" ht="15" customHeight="1" x14ac:dyDescent="0.3">
      <c r="B30" s="1"/>
      <c r="C30" s="364"/>
      <c r="D30" s="368"/>
      <c r="E30" s="369"/>
      <c r="F30" s="375"/>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7"/>
      <c r="AF30" s="411"/>
      <c r="AG30" s="411"/>
      <c r="AH30" s="411"/>
      <c r="AI30" s="411"/>
      <c r="AJ30" s="411"/>
      <c r="AK30" s="411"/>
      <c r="AL30" s="411"/>
      <c r="AM30" s="411"/>
      <c r="AN30" s="412"/>
      <c r="AO30" s="3"/>
      <c r="AP30" s="3"/>
    </row>
    <row r="31" spans="2:51" x14ac:dyDescent="0.3">
      <c r="B31" s="1"/>
      <c r="C31" s="365"/>
      <c r="D31" s="370"/>
      <c r="E31" s="371"/>
      <c r="F31" s="378"/>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80"/>
      <c r="AF31" s="413"/>
      <c r="AG31" s="413"/>
      <c r="AH31" s="413"/>
      <c r="AI31" s="413"/>
      <c r="AJ31" s="413"/>
      <c r="AK31" s="413"/>
      <c r="AL31" s="413"/>
      <c r="AM31" s="413"/>
      <c r="AN31" s="414"/>
      <c r="AO31" s="3"/>
      <c r="AP31" s="3"/>
    </row>
    <row r="32" spans="2:51" x14ac:dyDescent="0.3">
      <c r="B32" s="1"/>
      <c r="C32" s="363"/>
      <c r="D32" s="366" t="s">
        <v>48</v>
      </c>
      <c r="E32" s="367"/>
      <c r="F32" s="372" t="s">
        <v>76</v>
      </c>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4"/>
      <c r="AF32" s="381" t="s">
        <v>47</v>
      </c>
      <c r="AG32" s="382"/>
      <c r="AH32" s="382"/>
      <c r="AI32" s="382"/>
      <c r="AJ32" s="382"/>
      <c r="AK32" s="382"/>
      <c r="AL32" s="382"/>
      <c r="AM32" s="382"/>
      <c r="AN32" s="383"/>
      <c r="AO32" s="63"/>
      <c r="AP32" s="63"/>
    </row>
    <row r="33" spans="2:42" x14ac:dyDescent="0.3">
      <c r="B33" s="1"/>
      <c r="C33" s="364"/>
      <c r="D33" s="368"/>
      <c r="E33" s="369"/>
      <c r="F33" s="375"/>
      <c r="G33" s="376"/>
      <c r="H33" s="376"/>
      <c r="I33" s="376"/>
      <c r="J33" s="376"/>
      <c r="K33" s="376"/>
      <c r="L33" s="376"/>
      <c r="M33" s="376"/>
      <c r="N33" s="376"/>
      <c r="O33" s="376"/>
      <c r="P33" s="376"/>
      <c r="Q33" s="376"/>
      <c r="R33" s="376"/>
      <c r="S33" s="376"/>
      <c r="T33" s="376"/>
      <c r="U33" s="376"/>
      <c r="V33" s="376"/>
      <c r="W33" s="376"/>
      <c r="X33" s="376"/>
      <c r="Y33" s="376"/>
      <c r="Z33" s="376"/>
      <c r="AA33" s="376"/>
      <c r="AB33" s="376"/>
      <c r="AC33" s="376"/>
      <c r="AD33" s="376"/>
      <c r="AE33" s="377"/>
      <c r="AF33" s="384"/>
      <c r="AG33" s="385"/>
      <c r="AH33" s="385"/>
      <c r="AI33" s="385"/>
      <c r="AJ33" s="385"/>
      <c r="AK33" s="385"/>
      <c r="AL33" s="385"/>
      <c r="AM33" s="385"/>
      <c r="AN33" s="386"/>
      <c r="AO33" s="63"/>
      <c r="AP33" s="63"/>
    </row>
    <row r="34" spans="2:42" x14ac:dyDescent="0.3">
      <c r="B34" s="1"/>
      <c r="C34" s="364"/>
      <c r="D34" s="368"/>
      <c r="E34" s="369"/>
      <c r="F34" s="375"/>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7"/>
      <c r="AF34" s="384"/>
      <c r="AG34" s="385"/>
      <c r="AH34" s="385"/>
      <c r="AI34" s="385"/>
      <c r="AJ34" s="385"/>
      <c r="AK34" s="385"/>
      <c r="AL34" s="385"/>
      <c r="AM34" s="385"/>
      <c r="AN34" s="386"/>
      <c r="AO34" s="63"/>
      <c r="AP34" s="63"/>
    </row>
    <row r="35" spans="2:42" x14ac:dyDescent="0.3">
      <c r="B35" s="1"/>
      <c r="C35" s="364"/>
      <c r="D35" s="368"/>
      <c r="E35" s="369"/>
      <c r="F35" s="375"/>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7"/>
      <c r="AF35" s="384"/>
      <c r="AG35" s="385"/>
      <c r="AH35" s="385"/>
      <c r="AI35" s="385"/>
      <c r="AJ35" s="385"/>
      <c r="AK35" s="385"/>
      <c r="AL35" s="385"/>
      <c r="AM35" s="385"/>
      <c r="AN35" s="386"/>
      <c r="AO35" s="63"/>
      <c r="AP35" s="63"/>
    </row>
    <row r="36" spans="2:42" x14ac:dyDescent="0.3">
      <c r="B36" s="1"/>
      <c r="C36" s="364"/>
      <c r="D36" s="368"/>
      <c r="E36" s="369"/>
      <c r="F36" s="375"/>
      <c r="G36" s="376"/>
      <c r="H36" s="376"/>
      <c r="I36" s="376"/>
      <c r="J36" s="376"/>
      <c r="K36" s="376"/>
      <c r="L36" s="376"/>
      <c r="M36" s="376"/>
      <c r="N36" s="376"/>
      <c r="O36" s="376"/>
      <c r="P36" s="376"/>
      <c r="Q36" s="376"/>
      <c r="R36" s="376"/>
      <c r="S36" s="376"/>
      <c r="T36" s="376"/>
      <c r="U36" s="376"/>
      <c r="V36" s="376"/>
      <c r="W36" s="376"/>
      <c r="X36" s="376"/>
      <c r="Y36" s="376"/>
      <c r="Z36" s="376"/>
      <c r="AA36" s="376"/>
      <c r="AB36" s="376"/>
      <c r="AC36" s="376"/>
      <c r="AD36" s="376"/>
      <c r="AE36" s="377"/>
      <c r="AF36" s="384"/>
      <c r="AG36" s="385"/>
      <c r="AH36" s="385"/>
      <c r="AI36" s="385"/>
      <c r="AJ36" s="385"/>
      <c r="AK36" s="385"/>
      <c r="AL36" s="385"/>
      <c r="AM36" s="385"/>
      <c r="AN36" s="386"/>
      <c r="AO36" s="63"/>
      <c r="AP36" s="63"/>
    </row>
    <row r="37" spans="2:42" x14ac:dyDescent="0.3">
      <c r="B37" s="1"/>
      <c r="C37" s="365"/>
      <c r="D37" s="370"/>
      <c r="E37" s="371"/>
      <c r="F37" s="378"/>
      <c r="G37" s="379"/>
      <c r="H37" s="379"/>
      <c r="I37" s="379"/>
      <c r="J37" s="379"/>
      <c r="K37" s="379"/>
      <c r="L37" s="379"/>
      <c r="M37" s="379"/>
      <c r="N37" s="379"/>
      <c r="O37" s="379"/>
      <c r="P37" s="379"/>
      <c r="Q37" s="379"/>
      <c r="R37" s="379"/>
      <c r="S37" s="379"/>
      <c r="T37" s="379"/>
      <c r="U37" s="379"/>
      <c r="V37" s="379"/>
      <c r="W37" s="379"/>
      <c r="X37" s="379"/>
      <c r="Y37" s="379"/>
      <c r="Z37" s="379"/>
      <c r="AA37" s="379"/>
      <c r="AB37" s="379"/>
      <c r="AC37" s="379"/>
      <c r="AD37" s="379"/>
      <c r="AE37" s="380"/>
      <c r="AF37" s="387"/>
      <c r="AG37" s="388"/>
      <c r="AH37" s="388"/>
      <c r="AI37" s="388"/>
      <c r="AJ37" s="388"/>
      <c r="AK37" s="388"/>
      <c r="AL37" s="388"/>
      <c r="AM37" s="388"/>
      <c r="AN37" s="389"/>
      <c r="AO37" s="63"/>
      <c r="AP37" s="63"/>
    </row>
    <row r="38" spans="2:42" x14ac:dyDescent="0.3">
      <c r="B38" s="1"/>
      <c r="C38" s="390"/>
      <c r="D38" s="390" t="s">
        <v>10</v>
      </c>
      <c r="E38" s="390"/>
      <c r="F38" s="372" t="s">
        <v>49</v>
      </c>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3"/>
      <c r="AE38" s="394"/>
      <c r="AF38" s="399" t="s">
        <v>47</v>
      </c>
      <c r="AG38" s="400"/>
      <c r="AH38" s="400"/>
      <c r="AI38" s="400"/>
      <c r="AJ38" s="400"/>
      <c r="AK38" s="400"/>
      <c r="AL38" s="400"/>
      <c r="AM38" s="400"/>
      <c r="AN38" s="401"/>
      <c r="AO38" s="4"/>
      <c r="AP38" s="4"/>
    </row>
    <row r="39" spans="2:42" x14ac:dyDescent="0.3">
      <c r="B39" s="1"/>
      <c r="C39" s="391"/>
      <c r="D39" s="391"/>
      <c r="E39" s="391"/>
      <c r="F39" s="395"/>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7"/>
      <c r="AE39" s="398"/>
      <c r="AF39" s="402"/>
      <c r="AG39" s="402"/>
      <c r="AH39" s="402"/>
      <c r="AI39" s="402"/>
      <c r="AJ39" s="402"/>
      <c r="AK39" s="402"/>
      <c r="AL39" s="402"/>
      <c r="AM39" s="402"/>
      <c r="AN39" s="403"/>
      <c r="AO39" s="4"/>
      <c r="AP39" s="4"/>
    </row>
    <row r="40" spans="2:42" x14ac:dyDescent="0.3">
      <c r="B40" s="1"/>
      <c r="C40" s="390">
        <v>2</v>
      </c>
      <c r="D40" s="390"/>
      <c r="E40" s="390"/>
      <c r="F40" s="372" t="s">
        <v>77</v>
      </c>
      <c r="G40" s="392"/>
      <c r="H40" s="392"/>
      <c r="I40" s="392"/>
      <c r="J40" s="392"/>
      <c r="K40" s="392"/>
      <c r="L40" s="392"/>
      <c r="M40" s="392"/>
      <c r="N40" s="392"/>
      <c r="O40" s="392"/>
      <c r="P40" s="392"/>
      <c r="Q40" s="392"/>
      <c r="R40" s="392"/>
      <c r="S40" s="392"/>
      <c r="T40" s="392"/>
      <c r="U40" s="392"/>
      <c r="V40" s="392"/>
      <c r="W40" s="392"/>
      <c r="X40" s="392"/>
      <c r="Y40" s="392"/>
      <c r="Z40" s="392"/>
      <c r="AA40" s="392"/>
      <c r="AB40" s="392"/>
      <c r="AC40" s="392"/>
      <c r="AD40" s="393"/>
      <c r="AE40" s="394"/>
      <c r="AF40" s="399" t="s">
        <v>50</v>
      </c>
      <c r="AG40" s="400"/>
      <c r="AH40" s="400"/>
      <c r="AI40" s="400"/>
      <c r="AJ40" s="400"/>
      <c r="AK40" s="400"/>
      <c r="AL40" s="400"/>
      <c r="AM40" s="400"/>
      <c r="AN40" s="401"/>
      <c r="AO40" s="4"/>
      <c r="AP40" s="4"/>
    </row>
    <row r="41" spans="2:42" x14ac:dyDescent="0.3">
      <c r="B41" s="1"/>
      <c r="C41" s="391"/>
      <c r="D41" s="391"/>
      <c r="E41" s="391"/>
      <c r="F41" s="395"/>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7"/>
      <c r="AE41" s="398"/>
      <c r="AF41" s="402"/>
      <c r="AG41" s="402"/>
      <c r="AH41" s="402"/>
      <c r="AI41" s="402"/>
      <c r="AJ41" s="402"/>
      <c r="AK41" s="402"/>
      <c r="AL41" s="402"/>
      <c r="AM41" s="402"/>
      <c r="AN41" s="403"/>
      <c r="AO41" s="4"/>
      <c r="AP41" s="4"/>
    </row>
    <row r="42" spans="2:42" x14ac:dyDescent="0.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2:42" x14ac:dyDescent="0.3">
      <c r="B43" s="1"/>
      <c r="C43" s="1"/>
      <c r="D43" s="1"/>
      <c r="E43" s="1"/>
      <c r="F43" s="1"/>
      <c r="G43" s="1"/>
      <c r="H43" s="1"/>
      <c r="I43" s="1"/>
      <c r="J43" s="1"/>
      <c r="K43" s="1"/>
      <c r="L43" s="1"/>
      <c r="M43" s="1"/>
      <c r="N43" s="1"/>
      <c r="O43" s="1"/>
      <c r="P43" s="417" t="s">
        <v>52</v>
      </c>
      <c r="Q43" s="347"/>
      <c r="R43" s="347"/>
      <c r="S43" s="347"/>
      <c r="T43" s="347"/>
      <c r="U43" s="347"/>
      <c r="V43" s="347"/>
      <c r="W43" s="347"/>
      <c r="X43" s="347"/>
      <c r="Y43" s="347"/>
      <c r="Z43" s="347"/>
      <c r="AA43" s="1"/>
      <c r="AB43" s="1"/>
      <c r="AC43" s="1"/>
      <c r="AD43" s="1"/>
      <c r="AE43" s="1"/>
      <c r="AF43" s="1"/>
      <c r="AG43" s="1"/>
      <c r="AH43" s="1"/>
      <c r="AI43" s="1"/>
      <c r="AJ43" s="1"/>
      <c r="AK43" s="1"/>
      <c r="AL43" s="1"/>
      <c r="AM43" s="1"/>
      <c r="AN43" s="1"/>
      <c r="AO43" s="1"/>
      <c r="AP43" s="1"/>
    </row>
    <row r="44" spans="2:42" x14ac:dyDescent="0.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2:42" x14ac:dyDescent="0.3">
      <c r="B45" s="1"/>
      <c r="C45" s="1" t="s">
        <v>53</v>
      </c>
      <c r="D45" s="343" t="str">
        <f>IF(ISBLANK(U11)," ", PROPER(U11))</f>
        <v xml:space="preserve"> </v>
      </c>
      <c r="E45" s="343"/>
      <c r="F45" s="343"/>
      <c r="G45" s="343"/>
      <c r="H45" s="343"/>
      <c r="I45" s="343"/>
      <c r="J45" s="343"/>
      <c r="K45" s="343"/>
      <c r="L45" s="343"/>
      <c r="M45" s="343"/>
      <c r="N45" s="343"/>
      <c r="O45" s="343"/>
      <c r="P45" s="343"/>
      <c r="Q45" s="343"/>
      <c r="R45" s="343"/>
      <c r="S45" s="343"/>
      <c r="T45" s="343"/>
      <c r="U45" s="343"/>
      <c r="V45" s="361" t="s">
        <v>54</v>
      </c>
      <c r="W45" s="361"/>
      <c r="X45" s="361"/>
      <c r="Y45" s="361"/>
      <c r="Z45" s="361"/>
      <c r="AA45" s="361"/>
      <c r="AB45" s="361"/>
      <c r="AC45" s="361"/>
      <c r="AD45" s="361"/>
      <c r="AE45" s="361"/>
      <c r="AF45" s="361"/>
      <c r="AG45" s="361"/>
      <c r="AH45" s="361"/>
      <c r="AI45" s="361"/>
      <c r="AJ45" s="361"/>
      <c r="AK45" s="361"/>
      <c r="AL45" s="361"/>
      <c r="AM45" s="361"/>
      <c r="AN45" s="361"/>
      <c r="AO45" s="8"/>
      <c r="AP45" s="8"/>
    </row>
    <row r="46" spans="2:42" x14ac:dyDescent="0.3">
      <c r="B46" s="1"/>
      <c r="C46" s="361" t="s">
        <v>55</v>
      </c>
      <c r="D46" s="361"/>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1"/>
      <c r="AF46" s="1"/>
      <c r="AG46" s="1"/>
      <c r="AH46" s="1"/>
      <c r="AI46" s="1"/>
      <c r="AJ46" s="1"/>
      <c r="AK46" s="1"/>
      <c r="AL46" s="1"/>
      <c r="AM46" s="1"/>
      <c r="AN46" s="1"/>
      <c r="AO46" s="1"/>
      <c r="AP46" s="1"/>
    </row>
    <row r="47" spans="2:42" x14ac:dyDescent="0.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9" x14ac:dyDescent="0.3">
      <c r="B49" s="1"/>
      <c r="C49" s="361" t="s">
        <v>11</v>
      </c>
      <c r="D49" s="361"/>
      <c r="E49" s="361"/>
      <c r="F49" s="361"/>
      <c r="G49" s="1" t="s">
        <v>5</v>
      </c>
      <c r="H49" s="343" t="str">
        <f>IF(ISBLANK('Basic Information'!H29)," ",PROPER('Basic Information'!H29))</f>
        <v xml:space="preserve"> </v>
      </c>
      <c r="I49" s="343"/>
      <c r="J49" s="343"/>
      <c r="K49" s="343"/>
      <c r="L49" s="343"/>
      <c r="M49" s="343"/>
      <c r="N49" s="343"/>
      <c r="O49" s="343"/>
      <c r="P49" s="343"/>
      <c r="Q49" s="418"/>
      <c r="R49" s="418"/>
      <c r="S49" s="418"/>
      <c r="T49" s="418"/>
      <c r="U49" s="418"/>
      <c r="V49" s="1"/>
      <c r="W49" s="1"/>
      <c r="X49" s="1"/>
      <c r="Y49" s="1"/>
      <c r="Z49" s="1"/>
      <c r="AA49" s="1"/>
      <c r="AB49" s="1"/>
      <c r="AC49" s="347"/>
      <c r="AD49" s="347"/>
      <c r="AE49" s="347"/>
      <c r="AF49" s="347"/>
      <c r="AG49" s="347"/>
      <c r="AH49" s="347"/>
      <c r="AI49" s="347"/>
      <c r="AJ49" s="347"/>
      <c r="AK49" s="347"/>
      <c r="AL49" s="347"/>
      <c r="AM49" s="347"/>
      <c r="AN49" s="347"/>
      <c r="AO49" s="60"/>
      <c r="AP49" s="60"/>
    </row>
    <row r="50" spans="2:49" x14ac:dyDescent="0.3">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415"/>
      <c r="AD50" s="415"/>
      <c r="AE50" s="415"/>
      <c r="AF50" s="415"/>
      <c r="AG50" s="415"/>
      <c r="AH50" s="415"/>
      <c r="AI50" s="415"/>
      <c r="AJ50" s="415"/>
      <c r="AK50" s="415"/>
      <c r="AL50" s="415"/>
      <c r="AM50" s="415"/>
      <c r="AN50" s="415"/>
      <c r="AO50" s="60"/>
      <c r="AP50" s="60"/>
    </row>
    <row r="51" spans="2:49" x14ac:dyDescent="0.3">
      <c r="B51" s="1"/>
      <c r="C51" s="361" t="s">
        <v>12</v>
      </c>
      <c r="D51" s="361"/>
      <c r="E51" s="361"/>
      <c r="F51" s="361"/>
      <c r="G51" s="1" t="s">
        <v>5</v>
      </c>
      <c r="H51" s="416" t="str">
        <f>IF(ISBLANK('Basic Information'!H31)," ",'Basic Information'!H31)</f>
        <v xml:space="preserve"> </v>
      </c>
      <c r="I51" s="416"/>
      <c r="J51" s="416"/>
      <c r="K51" s="416"/>
      <c r="L51" s="416"/>
      <c r="M51" s="416"/>
      <c r="N51" s="416"/>
      <c r="O51" s="416"/>
      <c r="P51" s="416"/>
      <c r="Q51" s="1"/>
      <c r="R51" s="1"/>
      <c r="S51" s="1"/>
      <c r="T51" s="1"/>
      <c r="U51" s="1"/>
      <c r="V51" s="1"/>
      <c r="W51" s="1"/>
      <c r="X51" s="1"/>
      <c r="Y51" s="1"/>
      <c r="Z51" s="1"/>
      <c r="AA51" s="1"/>
      <c r="AB51" s="1"/>
      <c r="AC51" s="344" t="s">
        <v>51</v>
      </c>
      <c r="AD51" s="344"/>
      <c r="AE51" s="344"/>
      <c r="AF51" s="344"/>
      <c r="AG51" s="344"/>
      <c r="AH51" s="344"/>
      <c r="AI51" s="344"/>
      <c r="AJ51" s="344"/>
      <c r="AK51" s="344"/>
      <c r="AL51" s="344"/>
      <c r="AM51" s="344"/>
      <c r="AN51" s="344"/>
      <c r="AO51" s="5"/>
      <c r="AP51" s="5"/>
    </row>
    <row r="52" spans="2:49" x14ac:dyDescent="0.3">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9" ht="6.75" customHeight="1" x14ac:dyDescent="0.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9" ht="6.75" customHeight="1" x14ac:dyDescent="0.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9" ht="9" customHeight="1" x14ac:dyDescent="0.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9" ht="0.75" customHeight="1" x14ac:dyDescent="0.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9" ht="16.5" customHeight="1" x14ac:dyDescent="0.3">
      <c r="B57" s="1"/>
      <c r="C57" s="1"/>
      <c r="D57" s="1"/>
      <c r="E57" s="1"/>
      <c r="F57" s="1"/>
      <c r="G57" s="1"/>
      <c r="H57" s="1"/>
      <c r="I57" s="1"/>
      <c r="J57" s="1"/>
      <c r="K57" s="1"/>
      <c r="L57" s="1"/>
      <c r="M57" s="1"/>
      <c r="N57" s="1"/>
      <c r="O57" s="1"/>
      <c r="P57" s="1"/>
      <c r="Q57" s="1"/>
      <c r="R57" s="444" t="s">
        <v>56</v>
      </c>
      <c r="S57" s="445"/>
      <c r="T57" s="445"/>
      <c r="U57" s="445"/>
      <c r="V57" s="445"/>
      <c r="W57" s="445"/>
      <c r="X57" s="445"/>
      <c r="Y57" s="64"/>
      <c r="Z57" s="1"/>
      <c r="AA57" s="1"/>
      <c r="AB57" s="1"/>
      <c r="AC57" s="1"/>
      <c r="AD57" s="1"/>
      <c r="AE57" s="1"/>
      <c r="AF57" s="1"/>
      <c r="AG57" s="1"/>
      <c r="AH57" s="1"/>
      <c r="AI57" s="1"/>
      <c r="AJ57" s="1"/>
      <c r="AK57" s="1"/>
      <c r="AL57" s="1"/>
      <c r="AM57" s="1"/>
      <c r="AN57" s="1"/>
      <c r="AO57" s="1"/>
      <c r="AP57" s="1"/>
    </row>
    <row r="58" spans="2:49" x14ac:dyDescent="0.3">
      <c r="B58" s="1"/>
      <c r="C58" s="1"/>
      <c r="D58" s="1"/>
      <c r="E58" s="1"/>
      <c r="F58" s="1"/>
      <c r="G58" s="1"/>
      <c r="H58" s="1"/>
      <c r="I58" s="1"/>
      <c r="J58" s="1"/>
      <c r="K58" s="1"/>
      <c r="L58" s="1"/>
      <c r="M58" s="1"/>
      <c r="N58" s="1"/>
      <c r="O58" s="347" t="s">
        <v>57</v>
      </c>
      <c r="P58" s="347"/>
      <c r="Q58" s="347"/>
      <c r="R58" s="347"/>
      <c r="S58" s="347"/>
      <c r="T58" s="347"/>
      <c r="U58" s="347"/>
      <c r="V58" s="347"/>
      <c r="W58" s="347"/>
      <c r="X58" s="347"/>
      <c r="Y58" s="347"/>
      <c r="Z58" s="347"/>
      <c r="AA58" s="347"/>
      <c r="AB58" s="1"/>
      <c r="AC58" s="1"/>
      <c r="AD58" s="1"/>
      <c r="AE58" s="1"/>
      <c r="AF58" s="1"/>
      <c r="AG58" s="1"/>
      <c r="AH58" s="1"/>
      <c r="AI58" s="1"/>
      <c r="AJ58" s="1"/>
      <c r="AK58" s="1"/>
      <c r="AL58" s="1"/>
      <c r="AM58" s="1"/>
      <c r="AN58" s="1"/>
      <c r="AO58" s="1"/>
      <c r="AP58" s="1"/>
    </row>
    <row r="59" spans="2:49" ht="3.75" customHeight="1" x14ac:dyDescent="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9" x14ac:dyDescent="0.3">
      <c r="B60" s="1"/>
      <c r="C60" s="1"/>
      <c r="D60" s="1"/>
      <c r="E60" s="1"/>
      <c r="F60" s="1"/>
      <c r="G60" s="1"/>
      <c r="H60" s="1"/>
      <c r="I60" s="1"/>
      <c r="J60" s="1"/>
      <c r="K60" s="1"/>
      <c r="L60" s="1"/>
      <c r="M60" s="385" t="s">
        <v>58</v>
      </c>
      <c r="N60" s="108"/>
      <c r="O60" s="108"/>
      <c r="P60" s="108"/>
      <c r="Q60" s="108"/>
      <c r="R60" s="108"/>
      <c r="S60" s="108"/>
      <c r="T60" s="108"/>
      <c r="U60" s="108"/>
      <c r="V60" s="108"/>
      <c r="W60" s="108"/>
      <c r="X60" s="108"/>
      <c r="Y60" s="108"/>
      <c r="Z60" s="108"/>
      <c r="AA60" s="108"/>
      <c r="AB60" s="108"/>
      <c r="AC60" s="108"/>
      <c r="AD60" s="1"/>
      <c r="AE60" s="1"/>
      <c r="AF60" s="1"/>
      <c r="AG60" s="1"/>
      <c r="AH60" s="1"/>
      <c r="AI60" s="1"/>
      <c r="AJ60" s="1"/>
      <c r="AK60" s="1"/>
      <c r="AL60" s="1"/>
      <c r="AM60" s="1"/>
      <c r="AN60" s="1"/>
      <c r="AO60" s="1"/>
      <c r="AP60" s="1"/>
    </row>
    <row r="61" spans="2:49" ht="6" customHeight="1" x14ac:dyDescent="0.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9" ht="13.5" customHeight="1" x14ac:dyDescent="0.3">
      <c r="B62" s="1"/>
      <c r="C62" s="390">
        <v>1</v>
      </c>
      <c r="D62" s="419" t="s">
        <v>59</v>
      </c>
      <c r="E62" s="420"/>
      <c r="F62" s="420"/>
      <c r="G62" s="420"/>
      <c r="H62" s="420"/>
      <c r="I62" s="420"/>
      <c r="J62" s="420"/>
      <c r="K62" s="420"/>
      <c r="L62" s="420"/>
      <c r="M62" s="420"/>
      <c r="N62" s="420"/>
      <c r="O62" s="420"/>
      <c r="P62" s="420"/>
      <c r="Q62" s="420"/>
      <c r="R62" s="420"/>
      <c r="S62" s="420"/>
      <c r="T62" s="420"/>
      <c r="U62" s="420"/>
      <c r="V62" s="420"/>
      <c r="W62" s="420"/>
      <c r="X62" s="420"/>
      <c r="Y62" s="420"/>
      <c r="Z62" s="420"/>
      <c r="AA62" s="420"/>
      <c r="AB62" s="420"/>
      <c r="AC62" s="134"/>
      <c r="AD62" s="134"/>
      <c r="AE62" s="256"/>
      <c r="AF62" s="424">
        <f>IF(AND(AF27&lt;&gt;0,AF27&lt;=AP27,'Income Tax Proforma - Old Schem'!AV161&lt;&gt;0,('Income Tax Proforma - Old Schem'!AV161)&gt;=AF64),(('Income Tax Proforma - Old Schem'!AV161)-AF64),0)</f>
        <v>0</v>
      </c>
      <c r="AG62" s="425"/>
      <c r="AH62" s="425"/>
      <c r="AI62" s="425"/>
      <c r="AJ62" s="425"/>
      <c r="AK62" s="425"/>
      <c r="AL62" s="425"/>
      <c r="AM62" s="425"/>
      <c r="AN62" s="426"/>
      <c r="AO62" s="1"/>
      <c r="AP62" s="1"/>
      <c r="AQ62" s="132" t="str">
        <f>IF(AND(AF27&lt;&gt;0,'Income Tax Proforma - Old Schem'!AV161=0),"Since your income is not taxable for this tax year, Form 10E is not required.","")</f>
        <v/>
      </c>
      <c r="AR62" s="132"/>
      <c r="AS62" s="132"/>
      <c r="AT62" s="132"/>
      <c r="AU62" s="132"/>
      <c r="AV62" s="132"/>
      <c r="AW62" s="132"/>
    </row>
    <row r="63" spans="2:49" ht="12" customHeight="1" x14ac:dyDescent="0.3">
      <c r="B63" s="1"/>
      <c r="C63" s="391"/>
      <c r="D63" s="421"/>
      <c r="E63" s="422"/>
      <c r="F63" s="422"/>
      <c r="G63" s="422"/>
      <c r="H63" s="422"/>
      <c r="I63" s="422"/>
      <c r="J63" s="422"/>
      <c r="K63" s="422"/>
      <c r="L63" s="422"/>
      <c r="M63" s="422"/>
      <c r="N63" s="422"/>
      <c r="O63" s="422"/>
      <c r="P63" s="422"/>
      <c r="Q63" s="422"/>
      <c r="R63" s="422"/>
      <c r="S63" s="422"/>
      <c r="T63" s="422"/>
      <c r="U63" s="422"/>
      <c r="V63" s="422"/>
      <c r="W63" s="422"/>
      <c r="X63" s="422"/>
      <c r="Y63" s="422"/>
      <c r="Z63" s="422"/>
      <c r="AA63" s="422"/>
      <c r="AB63" s="422"/>
      <c r="AC63" s="422"/>
      <c r="AD63" s="422"/>
      <c r="AE63" s="423"/>
      <c r="AF63" s="427"/>
      <c r="AG63" s="428"/>
      <c r="AH63" s="428"/>
      <c r="AI63" s="428"/>
      <c r="AJ63" s="428"/>
      <c r="AK63" s="428"/>
      <c r="AL63" s="428"/>
      <c r="AM63" s="428"/>
      <c r="AN63" s="429"/>
      <c r="AO63" s="1"/>
      <c r="AP63" s="1"/>
      <c r="AQ63" s="132"/>
      <c r="AR63" s="132"/>
      <c r="AS63" s="132"/>
      <c r="AT63" s="132"/>
      <c r="AU63" s="132"/>
      <c r="AV63" s="132"/>
      <c r="AW63" s="132"/>
    </row>
    <row r="64" spans="2:49" ht="10.5" customHeight="1" x14ac:dyDescent="0.3">
      <c r="B64" s="1"/>
      <c r="C64" s="390">
        <v>2</v>
      </c>
      <c r="D64" s="419" t="s">
        <v>60</v>
      </c>
      <c r="E64" s="420"/>
      <c r="F64" s="420"/>
      <c r="G64" s="420"/>
      <c r="H64" s="420"/>
      <c r="I64" s="420"/>
      <c r="J64" s="420"/>
      <c r="K64" s="420"/>
      <c r="L64" s="420"/>
      <c r="M64" s="420"/>
      <c r="N64" s="420"/>
      <c r="O64" s="420"/>
      <c r="P64" s="420"/>
      <c r="Q64" s="420"/>
      <c r="R64" s="420"/>
      <c r="S64" s="420"/>
      <c r="T64" s="420"/>
      <c r="U64" s="420"/>
      <c r="V64" s="420"/>
      <c r="W64" s="420"/>
      <c r="X64" s="420"/>
      <c r="Y64" s="420"/>
      <c r="Z64" s="420"/>
      <c r="AA64" s="420"/>
      <c r="AB64" s="420"/>
      <c r="AC64" s="134"/>
      <c r="AD64" s="134"/>
      <c r="AE64" s="256"/>
      <c r="AF64" s="424">
        <f>IF(AND(AF27&lt;=AP27,'Income Tax Proforma - Old Schem'!AV161&lt;&gt;0),AF27,0)</f>
        <v>0</v>
      </c>
      <c r="AG64" s="425"/>
      <c r="AH64" s="425"/>
      <c r="AI64" s="425"/>
      <c r="AJ64" s="425"/>
      <c r="AK64" s="425"/>
      <c r="AL64" s="425"/>
      <c r="AM64" s="425"/>
      <c r="AN64" s="426"/>
      <c r="AO64" s="1"/>
      <c r="AP64" s="1"/>
    </row>
    <row r="65" spans="2:49" ht="12.75" customHeight="1" x14ac:dyDescent="0.3">
      <c r="B65" s="1"/>
      <c r="C65" s="391"/>
      <c r="D65" s="421"/>
      <c r="E65" s="422"/>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c r="AD65" s="422"/>
      <c r="AE65" s="423"/>
      <c r="AF65" s="427"/>
      <c r="AG65" s="428"/>
      <c r="AH65" s="428"/>
      <c r="AI65" s="428"/>
      <c r="AJ65" s="428"/>
      <c r="AK65" s="428"/>
      <c r="AL65" s="428"/>
      <c r="AM65" s="428"/>
      <c r="AN65" s="429"/>
      <c r="AO65" s="1"/>
      <c r="AP65" s="1"/>
    </row>
    <row r="66" spans="2:49" ht="15.75" customHeight="1" x14ac:dyDescent="0.3">
      <c r="B66" s="1"/>
      <c r="C66" s="390">
        <v>3</v>
      </c>
      <c r="D66" s="432" t="s">
        <v>61</v>
      </c>
      <c r="E66" s="433"/>
      <c r="F66" s="433"/>
      <c r="G66" s="433"/>
      <c r="H66" s="433"/>
      <c r="I66" s="433"/>
      <c r="J66" s="433"/>
      <c r="K66" s="433"/>
      <c r="L66" s="433"/>
      <c r="M66" s="433"/>
      <c r="N66" s="433"/>
      <c r="O66" s="433"/>
      <c r="P66" s="433"/>
      <c r="Q66" s="433"/>
      <c r="R66" s="433"/>
      <c r="S66" s="433"/>
      <c r="T66" s="433"/>
      <c r="U66" s="433"/>
      <c r="V66" s="433"/>
      <c r="W66" s="433"/>
      <c r="X66" s="433"/>
      <c r="Y66" s="433"/>
      <c r="Z66" s="433"/>
      <c r="AA66" s="433"/>
      <c r="AB66" s="433"/>
      <c r="AC66" s="434"/>
      <c r="AD66" s="434"/>
      <c r="AE66" s="435"/>
      <c r="AF66" s="424">
        <f>SUM(AF62,AF64)</f>
        <v>0</v>
      </c>
      <c r="AG66" s="425"/>
      <c r="AH66" s="425"/>
      <c r="AI66" s="425"/>
      <c r="AJ66" s="425"/>
      <c r="AK66" s="425"/>
      <c r="AL66" s="425"/>
      <c r="AM66" s="425"/>
      <c r="AN66" s="426"/>
      <c r="AO66" s="1"/>
      <c r="AP66" s="1"/>
    </row>
    <row r="67" spans="2:49" x14ac:dyDescent="0.3">
      <c r="B67" s="1"/>
      <c r="C67" s="430"/>
      <c r="D67" s="436"/>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437"/>
      <c r="AF67" s="441"/>
      <c r="AG67" s="442"/>
      <c r="AH67" s="442"/>
      <c r="AI67" s="442"/>
      <c r="AJ67" s="442"/>
      <c r="AK67" s="442"/>
      <c r="AL67" s="442"/>
      <c r="AM67" s="442"/>
      <c r="AN67" s="443"/>
      <c r="AO67" s="1"/>
      <c r="AP67" s="1"/>
    </row>
    <row r="68" spans="2:49" ht="12" customHeight="1" x14ac:dyDescent="0.3">
      <c r="B68" s="1"/>
      <c r="C68" s="431"/>
      <c r="D68" s="438"/>
      <c r="E68" s="439"/>
      <c r="F68" s="439"/>
      <c r="G68" s="439"/>
      <c r="H68" s="439"/>
      <c r="I68" s="439"/>
      <c r="J68" s="439"/>
      <c r="K68" s="439"/>
      <c r="L68" s="439"/>
      <c r="M68" s="439"/>
      <c r="N68" s="439"/>
      <c r="O68" s="439"/>
      <c r="P68" s="439"/>
      <c r="Q68" s="439"/>
      <c r="R68" s="439"/>
      <c r="S68" s="439"/>
      <c r="T68" s="439"/>
      <c r="U68" s="439"/>
      <c r="V68" s="439"/>
      <c r="W68" s="439"/>
      <c r="X68" s="439"/>
      <c r="Y68" s="439"/>
      <c r="Z68" s="439"/>
      <c r="AA68" s="439"/>
      <c r="AB68" s="439"/>
      <c r="AC68" s="439"/>
      <c r="AD68" s="439"/>
      <c r="AE68" s="440"/>
      <c r="AF68" s="427"/>
      <c r="AG68" s="428"/>
      <c r="AH68" s="428"/>
      <c r="AI68" s="428"/>
      <c r="AJ68" s="428"/>
      <c r="AK68" s="428"/>
      <c r="AL68" s="428"/>
      <c r="AM68" s="428"/>
      <c r="AN68" s="429"/>
      <c r="AO68" s="1"/>
      <c r="AP68" s="1"/>
    </row>
    <row r="69" spans="2:49" ht="11.25" customHeight="1" x14ac:dyDescent="0.3">
      <c r="B69" s="1"/>
      <c r="C69" s="390">
        <v>4</v>
      </c>
      <c r="D69" s="419" t="s">
        <v>62</v>
      </c>
      <c r="E69" s="420"/>
      <c r="F69" s="420"/>
      <c r="G69" s="420"/>
      <c r="H69" s="420"/>
      <c r="I69" s="420"/>
      <c r="J69" s="420"/>
      <c r="K69" s="420"/>
      <c r="L69" s="420"/>
      <c r="M69" s="420"/>
      <c r="N69" s="420"/>
      <c r="O69" s="420"/>
      <c r="P69" s="420"/>
      <c r="Q69" s="420"/>
      <c r="R69" s="420"/>
      <c r="S69" s="420"/>
      <c r="T69" s="420"/>
      <c r="U69" s="420"/>
      <c r="V69" s="420"/>
      <c r="W69" s="420"/>
      <c r="X69" s="420"/>
      <c r="Y69" s="420"/>
      <c r="Z69" s="420"/>
      <c r="AA69" s="420"/>
      <c r="AB69" s="420"/>
      <c r="AC69" s="134"/>
      <c r="AD69" s="134"/>
      <c r="AE69" s="256"/>
      <c r="AF69" s="446">
        <f>SUM(AQ70,AR70)</f>
        <v>0</v>
      </c>
      <c r="AG69" s="447"/>
      <c r="AH69" s="447"/>
      <c r="AI69" s="447"/>
      <c r="AJ69" s="447"/>
      <c r="AK69" s="447"/>
      <c r="AL69" s="447"/>
      <c r="AM69" s="447"/>
      <c r="AN69" s="448"/>
      <c r="AO69" s="1"/>
      <c r="AP69" s="1"/>
      <c r="AQ69" s="6">
        <f>IF( AND(OR(AA25="2006-2007",AA25="2007-2008"),U22&lt;&gt;"Female"),IF( MROUND(AF66,10)&lt;= 100000, 0, IF(AND(MROUND(AF66,10)&gt; 100000,MROUND(AF66,10)&lt;= 150000),  ROUND(ABS(MROUND(AF66,10)- 100000)*0.1,0), IF(AND(MROUND(AF66,10)&gt; 150000, MROUND(AF66,10)&lt;= 250000), ROUND(5000+ ABS(MROUND(AF66,10)- 150000)*0.2,0),IF(MROUND(AF66,10)&gt; 250000,  ROUND(25000+ABS(MROUND(AF66,10)- 250000)*0.3,0),  0)))),IF(AND(OR(AA25="2006-2007",AA25="2007-2008"),U22="Female"),IF(MROUND(AF66,10)&lt;= 135000, 0, IF(AND(MROUND(AF66,10)&gt; 135000, MROUND(AF66,10)&lt;= 150000), ROUND(ABS(MROUND(AF66,10)- 135000)*0.1,0), IF(AND(MROUND(AF66,10)&gt; 150000, MROUND(AF66,10)&lt;= 250000), ROUND(1500+ ABS(MROUND(AF66,10)- 150000)*0.2,0),  IF(MROUND(AF66,10)&gt; 250000, ROUND(21500+ABS(MROUND(AF66,10)- 250000)*0.3,0),0)))),IF(AND(AA25="2008-2009",U22&lt;&gt;"Female"), IF(MROUND(AF66,10)&lt;= 110000,  0,  IF(AND(MROUND(AF66,10)&gt; 110000, MROUND(AF66,10)&lt;= 150000),     ROUND(ABS(MROUND(AF66,10)- 110000)*0.1,0),  IF(AND(MROUND(AF66,10)&gt; 150000, MROUND(AF66,10)&lt;= 250000),  ROUND(4000+ ABS(MROUND(AF66,10)- 150000)*0.2,0),   IF(MROUND(AF66,10)&gt; 250000,   ROUND(24000+ABS(MROUND(AF66,10)- 250000)*0.3,0),0)))),IF(AND(AA25="2008-2009",U22="Female"), IF(MROUND(AF66,10)&lt;= 145000, 0, IF(AND(MROUND(AF66,10)&gt; 145000, MROUND(AF66,10)&lt;= 150000),     ROUND(ABS(MROUND(AF66,10)- 145000)*0.1,0),  IF(AND(MROUND(AF66,10)&gt; 150000, MROUND(AF66,10)&lt;= 250000),  ROUND(500+ ABS(MROUND(AF66,10)- 150000)*0.2,0),  IF(MROUND(AF66,10)&gt; 250000, ROUND(20500+ABS(MROUND(AF66,10)- 250000)*0.3,0),0)))), IF(AND(AA25="2009-2010",U22&lt;&gt;"Female"), IF(MROUND(AF66,10)&lt;= 150000, 0, IF(AND(MROUND(AF66,10)&gt; 150000, MROUND(AF66,10)&lt;= 300000), ROUND(ABS(MROUND(AF66,10)- 150000)*0.1,0), IF(AND(MROUND(AF66,10)&gt; 300000, MROUND(AF66,10)&lt;= 500000),  ROUND(15000+ ABS(MROUND(AF66,10)- 300000)*0.2,0),  IF(MROUND(AF66,10)&gt; 500000,  ROUND(55000+ABS(MROUND(AF66,10)- 500000)*0.3,0),0)))), IF(AND(AA25="2009-2010",U22="Female"), IF(MROUND(AF66,10)&lt;= 180000, 0, IF(AND(MROUND(AF66,10)&gt; 180000, MROUND(AF66,10)&lt;= 300000), ROUND(ABS(MROUND(AF66,10)- 180000)*0.1,0), IF(AND(MROUND(AF66,10)&gt; 300000, MROUND(AF66,10)&lt;= 500000), ROUND(12000+ ABS(MROUND(AF66,10)- 300000)*0.2,0),  IF(MROUND(AF66,10)&gt; 500000,  ROUND(52000+ABS(MROUND(AF66,10)- 500000)*0.3,0),0)))), IF(AND(AA25="2010-2011", U22&lt;&gt;"Female"), IF(MROUND(AF66,10)&lt;= 160000, 0, IF(AND(MROUND(AF66,10)&gt; 160000, MROUND(AF66,10)&lt;= 300000),ROUND(ABS(MROUND(AF66,10)- 160000)*0.1,0), IF(AND(MROUND(AF66,10)&gt; 300000, MROUND(AF66,10)&lt;= 500000),ROUND(14000+ ABS(MROUND(AF66,10)- 300000)*0.2,0),  IF(MROUND(AF66,10)&gt; 500000, ROUND(54000+ABS(MROUND(AF66,10)- 500000)*0.3,0),0)))),IF(AND(AA25="2010-2011",U22="Female"), IF(MROUND(AF66,10)&lt;= 190000, 0, IF(AND(MROUND(AF66,10)&gt; 190000, MROUND(AF66,10)&lt;= 300000),ROUND(ABS(MROUND(AF66,10)- 190000)*0.1,0), IF(AND(MROUND(AF66,10)&gt; 300000, MROUND(AF66,10)&lt;= 500000), ROUND(11000+ ABS(MROUND(AF66,10)- 300000)*0.2,0),IF(MROUND(AF66,10)&gt; 500000,  ROUND(51000+ABS(MROUND(AF66,10)- 500000)*0.3,0),0)))), IF(AND(AA25="2011-2012",U22&lt;&gt;"Female"), IF(MROUND(AF66,10)&lt;= 160000, 0, IF(AND(MROUND(AF66,10)&gt; 160000, MROUND(AF66,10)&lt;= 500000), ROUND(ABS(MROUND(AF66,10)- 160000)*0.1,0), IF(AND(MROUND(AF66,10)&gt; 500000, MROUND(AF66,10)&lt;= 800000), ROUND(34000+ ABS(MROUND(AF66,10)- 500000)*0.2,0),  IF(MROUND(AF66,10)&gt; 800000,  ROUND(94000+ABS(MROUND(AF66,10)- 800000)*0.3,0),0)))), IF(AND(OR(AA25="2011-2012",AA25="2012-2013"),U22="Female"), IF(MROUND(AF66,10)&lt;= 190000, 0, IF(AND(MROUND(AF66,10)&gt; 190000, MROUND(AF66,10)&lt;= 500000), ROUND(ABS(MROUND(AF66,10)- 190000)*0.1,0), IF(AND(MROUND(AF66,10)&gt; 500000, MROUND(AF66,10)&lt;= 800000),  ROUND(31000+ ABS(MROUND(AF66,10)- 500000)*0.2,0),  IF(MROUND(AF66,10)&gt; 800000,  ROUND(91000+ABS(MROUND(AF66,10)- 800000)*0.3,0),0)))), IF(AND(AA25="2012-2013", U22&lt;&gt;"Female"), IF(MROUND(AF66,10)&lt;= 180000, 0, IF(AND(MROUND(AF66,10)&gt; 180000, MROUND(AF66,10)&lt;= 500000), ROUND(ABS(MROUND(AF66,10)- 180000)*0.1,0), IF(AND(MROUND(AF66,10)&gt; 500000, MROUND(AF66,10)&lt;= 800000),  ROUND(32000+ ABS(MROUND(AF66,10)- 500000)*0.2,0),  IF(MROUND(AF66,10)&gt; 800000,  ROUND(92000+ABS(MROUND(AF66,10)- 800000)*0.3,0),0)))), IF(OR(AA25="2013-2014",AA25="2014-2015"), IF(MROUND(AF66,10)&lt;= 200000, 0, IF(AND(MROUND(AF66,10)&gt; 200000, MROUND(AF66,10)&lt;= 500000), ROUND(ABS(MROUND(AF66,10)- 200000)*0.1,0), IF(AND(MROUND(AF66,10)&gt; 500000, MROUND(AF66,10)&lt;= 1000000),  ROUND(30000+ ABS(MROUND(AF66,10)- 500000)*0.2,0),  IF(MROUND(AF66,10)&gt; 1000000,  ROUND(130000+ABS(MROUND(AF66,10)- 1000000)*0.3,0),0)))), IF(OR(AA25="2015-2016", AA25="2016-2017",AA25="2017-2018"), IF(MROUND(AF66,10)&lt;= 250000, 0, IF(AND(MROUND(AF66,10)&gt; 250000, MROUND(AF66,10)&lt;= 500000), ROUND(ABS(MROUND(AF66,10)- 250000)*0.1,0), IF(AND(MROUND(AF66,10)&gt; 500000, MROUND(AF66,10)&lt;= 1000000),  ROUND(25000+ ABS(MROUND(AF66,10)- 500000)*0.2,0),  IF(MROUND(AF66,10)&gt; 1000000,  ROUND(125000+ABS(MROUND(AF66,10)- 1000000)*0.3,0), 0)))), IF(OR(AA25="2018-2019", AA25="2019-2020",AA25="2020-2021",AA25="2021-2022",AA25="2022-2023",AA25="2023-2024",AA25="2024-2025",AA25="2025-2026"), IF(MROUND(AF66,10)&lt;= 250000, 0, IF(AND(MROUND(AF66,10)&gt; 250000, MROUND(AF66,10)&lt;= 500000), ROUND(ABS(MROUND(AF66,10)- 250000)*0.05,0), IF(AND(MROUND(AF66,10)&gt; 500000, MROUND(AF66,10)&lt;= 1000000),  ROUND(12500+ ABS(MROUND(AF66,10)- 500000)*0.2,0),  IF(MROUND(AF66,10)&gt; 1000000,  ROUND(112500+ABS(MROUND(AF66,10)- 1000000)*0.3,0), 0)))),0))))))))))))))</f>
        <v>0</v>
      </c>
      <c r="AR69" s="6">
        <f>IF(OR(AA25="2014-2015",AA25="2015-2016",AA25="2016-2017"),IF(AND(MROUND(AF66,10)&lt;=500000,MROUND(AF66,10)&lt;&gt;0),IF(AQ69&lt;=2000, AQ69,2000),0), IF(AA25="2017-2018",IF(AND(MROUND(AF66,10)&lt;=500000,MROUND(AF66,10)&lt;&gt;0),IF(AQ69&lt;=5000, AQ69,5000),0),IF(OR(AA25="2018-2019",AA25="2019-2020"),IF(AND(MROUND(AF66,10)&lt;=350000,MROUND(AF66,10)&lt;&gt;0),IF(AQ69&lt;=2500, AQ69,2500),0),IF(OR(AA25="2020-2021",AA25="2021-2022",AA25="2022-2023",AA25="2023-2024",AA25="2024-2025",AA25="2025-2026"),IF(AND(MROUND(AF66,10)&lt;=500000,MROUND(AF66,10)&lt;&gt;0),IF(AQ69&lt;=12500, AQ69,12500),0),0))))</f>
        <v>0</v>
      </c>
      <c r="AU69" s="7"/>
    </row>
    <row r="70" spans="2:49" ht="12.75" customHeight="1" x14ac:dyDescent="0.3">
      <c r="B70" s="1"/>
      <c r="C70" s="391"/>
      <c r="D70" s="421"/>
      <c r="E70" s="422"/>
      <c r="F70" s="422"/>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3"/>
      <c r="AF70" s="449"/>
      <c r="AG70" s="450"/>
      <c r="AH70" s="450"/>
      <c r="AI70" s="450"/>
      <c r="AJ70" s="450"/>
      <c r="AK70" s="450"/>
      <c r="AL70" s="450"/>
      <c r="AM70" s="450"/>
      <c r="AN70" s="451"/>
      <c r="AO70" s="1"/>
      <c r="AP70" s="1"/>
      <c r="AQ70" s="6">
        <f>IF((AQ69&lt;AR69),0,ROUND(ABS(AQ69-AR69),0))</f>
        <v>0</v>
      </c>
      <c r="AR70" s="6">
        <f>IF(OR(AA25="2006-2007",AA25="2007-2008"),ROUND(AQ70*0.02,0),IF(OR(AA25="2019-2020",AA25="2020-2021",AA25="2021-2022",AA25="2022-2023",AA25="2023-2024",AA25="2024-2025",AA25="2025-2026"),ROUND(AQ70*0.04,0),ROUND(AQ70*0.03,0)))</f>
        <v>0</v>
      </c>
    </row>
    <row r="71" spans="2:49" ht="10.5" customHeight="1" x14ac:dyDescent="0.3">
      <c r="B71" s="1"/>
      <c r="C71" s="390">
        <v>5</v>
      </c>
      <c r="D71" s="419" t="s">
        <v>63</v>
      </c>
      <c r="E71" s="420"/>
      <c r="F71" s="420"/>
      <c r="G71" s="420"/>
      <c r="H71" s="420"/>
      <c r="I71" s="420"/>
      <c r="J71" s="420"/>
      <c r="K71" s="420"/>
      <c r="L71" s="420"/>
      <c r="M71" s="420"/>
      <c r="N71" s="420"/>
      <c r="O71" s="420"/>
      <c r="P71" s="420"/>
      <c r="Q71" s="420"/>
      <c r="R71" s="420"/>
      <c r="S71" s="420"/>
      <c r="T71" s="420"/>
      <c r="U71" s="420"/>
      <c r="V71" s="420"/>
      <c r="W71" s="420"/>
      <c r="X71" s="420"/>
      <c r="Y71" s="420"/>
      <c r="Z71" s="420"/>
      <c r="AA71" s="420"/>
      <c r="AB71" s="420"/>
      <c r="AC71" s="134"/>
      <c r="AD71" s="134"/>
      <c r="AE71" s="256"/>
      <c r="AF71" s="424">
        <f>SUM(AQ72,AR72)</f>
        <v>0</v>
      </c>
      <c r="AG71" s="425"/>
      <c r="AH71" s="425"/>
      <c r="AI71" s="425"/>
      <c r="AJ71" s="425"/>
      <c r="AK71" s="425"/>
      <c r="AL71" s="425"/>
      <c r="AM71" s="425"/>
      <c r="AN71" s="426"/>
      <c r="AO71" s="1"/>
      <c r="AP71" s="1"/>
      <c r="AQ71" s="6">
        <f>IF(AF62&gt;0,IF( AND(OR(AA25="2006-2007",AA25="2007-2008"),U22&lt;&gt;"Female"),IF( MROUND(AF62,10)&lt;= 100000, 0, IF(AND(MROUND(AF62,10)&gt; 100000,MROUND(AF62,10)&lt;= 150000),  ROUND(ABS(MROUND(AF62,10)- 100000)*0.1,0), IF(AND(MROUND(AF62,10)&gt; 150000, MROUND(AF62,10)&lt;= 250000), ROUND(5000+ ABS(MROUND(AF62,10)- 150000)*0.2,0),IF(MROUND(AF62,10)&gt; 250000,  ROUND(25000+ABS(MROUND(AF62,10)- 250000)*0.3,0),  0)))),IF(AND(OR(AA25="2006-2007",AA25="2007-2008"),U22="Female"),IF(MROUND(AF62,10)&lt;= 135000, 0, IF(AND(MROUND(AF62,10)&gt; 135000, MROUND(AF62,10)&lt;= 150000), ROUND(ABS(MROUND(AF62,10)- 135000)*0.1,0), IF(AND(MROUND(AF62,10)&gt; 150000, MROUND(AF62,10)&lt;= 250000), ROUND(1500+ ABS(MROUND(AF62,10)- 150000)*0.2,0),  IF(MROUND(AF62,10)&gt; 250000, ROUND(21500+ABS(MROUND(AF62,10)- 250000)*0.3,0),0)))),IF(AND(AA25="2008-2009",U22&lt;&gt;"Female"), IF(MROUND(AF62,10)&lt;= 110000,  0,  IF(AND(MROUND(AF62,10)&gt; 110000, MROUND(AF62,10)&lt;= 150000),     ROUND(ABS(MROUND(AF62,10)- 110000)*0.1,0),  IF(AND(MROUND(AF62,10)&gt; 150000, MROUND(AF62,10)&lt;= 250000),  ROUND(4000+ ABS(MROUND(AF62,10)- 150000)*0.2,0),   IF(MROUND(AF62,10)&gt; 250000,   ROUND(24000+ABS(MROUND(AF62,10)- 250000)*0.3,0),0)))),IF(AND(AA25="2008-2009",U22="Female"), IF(MROUND(AF62,10)&lt;= 145000, 0, IF(AND(MROUND(AF62,10)&gt; 145000, MROUND(AF62,10)&lt;= 150000),     ROUND(ABS(MROUND(AF62,10)- 145000)*0.1,0),  IF(AND(MROUND(AF62,10)&gt; 150000, MROUND(AF62,10)&lt;= 250000),  ROUND(500+ ABS(MROUND(AF62,10)- 150000)*0.2,0),  IF(MROUND(AF62,10)&gt; 250000, ROUND(20500+ABS(MROUND(AF62,10)- 250000)*0.3,0),0)))), IF(AND(AA25="2009-2010",U22&lt;&gt;"Female"), IF(MROUND(AF62,10)&lt;= 150000, 0, IF(AND(MROUND(AF62,10)&gt; 150000, MROUND(AF62,10)&lt;= 300000), ROUND(ABS(MROUND(AF62,10)- 150000)*0.1,0), IF(AND(MROUND(AF62,10)&gt; 300000, MROUND(AF62,10)&lt;= 500000),  ROUND(15000+ ABS(MROUND(AF62,10)- 300000)*0.2,0),  IF(MROUND(AF62,10)&gt; 500000,  ROUND(55000+ABS(MROUND(AF62,10)- 500000)*0.3,0),0)))), IF(AND(AA25="2009-2010",U22="Female"), IF(MROUND(AF62,10)&lt;= 180000, 0, IF(AND(MROUND(AF62,10)&gt; 180000, MROUND(AF62,10)&lt;= 300000), ROUND(ABS(MROUND(AF62,10)- 180000)*0.1,0), IF(AND(MROUND(AF62,10)&gt; 300000, MROUND(AF62,10)&lt;= 500000), ROUND(12000+ ABS(MROUND(AF62,10)- 300000)*0.2,0),  IF(MROUND(AF62,10)&gt; 500000,  ROUND(52000+ABS(MROUND(AF62,10)- 500000)*0.3,0),0)))), IF(AND(AA25="2010-2011", U22&lt;&gt;"Female"), IF(MROUND(AF62,10)&lt;= 160000, 0, IF(AND(MROUND(AF62,10)&gt; 160000, MROUND(AF62,10)&lt;= 300000),ROUND(ABS(MROUND(AF62,10)- 160000)*0.1,0), IF(AND(MROUND(AF62,10)&gt; 300000, MROUND(AF62,10)&lt;= 500000),ROUND(14000+ ABS(MROUND(AF62,10)- 300000)*0.2,0),  IF(MROUND(AF62,10)&gt; 500000, ROUND(54000+ABS(MROUND(AF62,10)- 500000)*0.3,0),0)))),IF(AND(AA25="2010-2011",U22="Female"), IF(MROUND(AF62,10)&lt;= 190000, 0, IF(AND(MROUND(AF62,10)&gt; 190000, MROUND(AF62,10)&lt;= 300000),ROUND(ABS(MROUND(AF62,10)- 190000)*0.1,0), IF(AND(MROUND(AF62,10)&gt; 300000, MROUND(AF62,10)&lt;= 500000), ROUND(11000+ ABS(MROUND(AF62,10)- 300000)*0.2,0),IF(MROUND(AF62,10)&gt; 500000,  ROUND(51000+ABS(MROUND(AF62,10)- 500000)*0.3,0),0)))), IF(AND(AA25="2011-2012",U22&lt;&gt;"Female"), IF(MROUND(AF62,10)&lt;= 160000, 0, IF(AND(MROUND(AF62,10)&gt; 160000, MROUND(AF62,10)&lt;= 500000), ROUND(ABS(MROUND(AF62,10)- 160000)*0.1,0), IF(AND(MROUND(AF62,10)&gt; 500000, MROUND(AF62,10)&lt;= 800000), ROUND(34000+ ABS(MROUND(AF62,10)- 500000)*0.2,0),  IF(MROUND(AF62,10)&gt; 800000,  ROUND(94000+ABS(MROUND(AF62,10)- 800000)*0.3,0),0)))), IF(AND(OR(AA25="2011-2012",AA25="2012-2013"),U22="Female"), IF(MROUND(AF62,10)&lt;= 190000, 0, IF(AND(MROUND(AF62,10)&gt; 190000, MROUND(AF62,10)&lt;= 500000), ROUND(ABS(MROUND(AF62,10)- 190000)*0.1,0), IF(AND(MROUND(AF62,10)&gt; 500000, MROUND(AF62,10)&lt;= 800000),  ROUND(31000+ ABS(MROUND(AF62,10)- 500000)*0.2,0),  IF(MROUND(AF62,10)&gt; 800000,  ROUND(91000+ABS(MROUND(AF62,10)- 800000)*0.3,0),0)))), IF(AND(AA25="2012-2013", U22&lt;&gt;"Female"), IF(MROUND(AF62,10)&lt;= 180000, 0, IF(AND(MROUND(AF62,10)&gt; 180000, MROUND(AF62,10)&lt;= 500000), ROUND(ABS(MROUND(AF62,10)- 180000)*0.1,0), IF(AND(MROUND(AF62,10)&gt; 500000, MROUND(AF62,10)&lt;= 800000),  ROUND(32000+ ABS(MROUND(AF62,10)- 500000)*0.2,0),  IF(MROUND(AF62,10)&gt; 800000,  ROUND(92000+ABS(MROUND(AF62,10)- 800000)*0.3,0),0)))), IF(OR(AA25="2013-2014",AA25="2014-2015"), IF(MROUND(AF62,10)&lt;= 200000, 0, IF(AND(MROUND(AF62,10)&gt; 200000, MROUND(AF62,10)&lt;= 500000), ROUND(ABS(MROUND(AF62,10)- 200000)*0.1,0), IF(AND(MROUND(AF62,10)&gt; 500000, MROUND(AF62,10)&lt;= 1000000),  ROUND(30000+ ABS(MROUND(AF62,10)- 500000)*0.2,0),  IF(MROUND(AF62,10)&gt; 1000000,  ROUND(130000+ABS(MROUND(AF62,10)- 1000000)*0.3,0),0)))), IF(OR(AA25="2015-2016", AA25="2016-2017",AA25="2017-2018"), IF(MROUND(AF62,10)&lt;= 250000, 0, IF(AND(MROUND(AF62,10)&gt; 250000, MROUND(AF62,10)&lt;= 500000), ROUND(ABS(MROUND(AF62,10)- 250000)*0.1,0), IF(AND(MROUND(AF62,10)&gt; 500000, MROUND(AF62,10)&lt;= 1000000),  ROUND(25000+ ABS(MROUND(AF62,10)- 500000)*0.2,0),  IF(MROUND(AF62,10)&gt; 1000000,  ROUND(125000+ABS(MROUND(AF62,10)- 1000000)*0.3,0), 0)))),IF(OR(AA25="2018-2019",AA25="2019-2020",AA25="2020-2021",AA25="2021-2022",AA25="2022-2023",AA25="2023-2024",AA25="2024-2025",AA25="2025-2026"), IF(MROUND(AF62,10)&lt;= 250000, 0, IF(AND(MROUND(AF62,10)&gt; 250000, MROUND(AF62,10)&lt;= 500000), ROUND(ABS(MROUND(AF62,10)- 250000)*0.05,0), IF(AND(MROUND(AF62,10)&gt; 500000, MROUND(AF62,10)&lt;= 1000000),  ROUND(12500+ ABS(MROUND(AF62,10)- 500000)*0.2,0),  IF(MROUND(AF62,10)&gt; 1000000,  ROUND(112500+ABS(MROUND(AF62,10)- 1000000)*0.3,0), 0)))),0)))))))))))))),0)</f>
        <v>0</v>
      </c>
      <c r="AR71" s="6">
        <f>IF(AF62&gt;0,IF(OR(AA25="2014-2015",AA25="2015-2016",AA25="2016-2017"),IF(AND(MROUND(AF62,10)&lt;=500000,MROUND(AF62,10)&lt;&gt;0),IF(AQ71&lt;=2000, AQ71,2000),0), IF(AA25="2017-2018",IF(AND(MROUND(AF62,10)&lt;=500000,MROUND(AF62,10)&lt;&gt;0),IF(AQ71&lt;=5000, AQ71,5000),0),IF(OR(AA25="2018-2019",AA25="2019-2020"),IF(AND(MROUND(AF62,10)&lt;=350000,MROUND(AF62,10)&lt;&gt;0),IF(AQ71&lt;=2500, AQ71,2500),0),IF(OR(AA25="2020-2021",AA25="2021-2022",AA25="2022-2023",AA25="2023-2024",AA25="2024-2025",AA25="2025-2026"),IF(AND(MROUND(AF62,10)&lt;=500000,MROUND(AF62,10)&lt;&gt;0),IF(AQ71&lt;=12500, AQ71,12500),0),0)))),0)</f>
        <v>0</v>
      </c>
    </row>
    <row r="72" spans="2:49" ht="12.75" customHeight="1" x14ac:dyDescent="0.3">
      <c r="B72" s="1"/>
      <c r="C72" s="391"/>
      <c r="D72" s="421"/>
      <c r="E72" s="422"/>
      <c r="F72" s="422"/>
      <c r="G72" s="422"/>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3"/>
      <c r="AF72" s="427"/>
      <c r="AG72" s="428"/>
      <c r="AH72" s="428"/>
      <c r="AI72" s="428"/>
      <c r="AJ72" s="428"/>
      <c r="AK72" s="428"/>
      <c r="AL72" s="428"/>
      <c r="AM72" s="428"/>
      <c r="AN72" s="429"/>
      <c r="AO72" s="1"/>
      <c r="AP72" s="1"/>
      <c r="AQ72" s="6">
        <f>IF((AQ71&lt;AR71),0,ROUND(ABS(AQ71-AR71),0))</f>
        <v>0</v>
      </c>
      <c r="AR72" s="6">
        <f>IF(OR(AA25="2006-2007",AA25="2007-2008"),ROUND(AQ72*0.02,0),IF(OR(AA25="2019-2020",AA25="2020-2021",AA25="2021-2022",AA25="2022-2023",AA25="2023-2024",AA25="2024-2025",AA25="2025-2026"),ROUND(AQ72*0.04,0),ROUND(AQ72*0.03,0)))</f>
        <v>0</v>
      </c>
    </row>
    <row r="73" spans="2:49" ht="10.5" customHeight="1" x14ac:dyDescent="0.3">
      <c r="B73" s="1"/>
      <c r="C73" s="390">
        <v>6</v>
      </c>
      <c r="D73" s="432" t="s">
        <v>64</v>
      </c>
      <c r="E73" s="433"/>
      <c r="F73" s="433"/>
      <c r="G73" s="433"/>
      <c r="H73" s="433"/>
      <c r="I73" s="433"/>
      <c r="J73" s="433"/>
      <c r="K73" s="433"/>
      <c r="L73" s="433"/>
      <c r="M73" s="433"/>
      <c r="N73" s="433"/>
      <c r="O73" s="433"/>
      <c r="P73" s="433"/>
      <c r="Q73" s="433"/>
      <c r="R73" s="433"/>
      <c r="S73" s="433"/>
      <c r="T73" s="433"/>
      <c r="U73" s="433"/>
      <c r="V73" s="433"/>
      <c r="W73" s="433"/>
      <c r="X73" s="433"/>
      <c r="Y73" s="433"/>
      <c r="Z73" s="433"/>
      <c r="AA73" s="433"/>
      <c r="AB73" s="433"/>
      <c r="AC73" s="434"/>
      <c r="AD73" s="434"/>
      <c r="AE73" s="435"/>
      <c r="AF73" s="424">
        <f>ABS(AF69-AF71)</f>
        <v>0</v>
      </c>
      <c r="AG73" s="425"/>
      <c r="AH73" s="425"/>
      <c r="AI73" s="425"/>
      <c r="AJ73" s="425"/>
      <c r="AK73" s="425"/>
      <c r="AL73" s="425"/>
      <c r="AM73" s="425"/>
      <c r="AN73" s="426"/>
      <c r="AO73" s="1"/>
      <c r="AP73" s="1"/>
    </row>
    <row r="74" spans="2:49" x14ac:dyDescent="0.3">
      <c r="B74" s="1"/>
      <c r="C74" s="430"/>
      <c r="D74" s="436"/>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437"/>
      <c r="AF74" s="441"/>
      <c r="AG74" s="442"/>
      <c r="AH74" s="442"/>
      <c r="AI74" s="442"/>
      <c r="AJ74" s="442"/>
      <c r="AK74" s="442"/>
      <c r="AL74" s="442"/>
      <c r="AM74" s="442"/>
      <c r="AN74" s="443"/>
      <c r="AO74" s="1"/>
      <c r="AP74" s="1"/>
    </row>
    <row r="75" spans="2:49" ht="11.25" customHeight="1" x14ac:dyDescent="0.3">
      <c r="B75" s="1"/>
      <c r="C75" s="431"/>
      <c r="D75" s="438"/>
      <c r="E75" s="439"/>
      <c r="F75" s="439"/>
      <c r="G75" s="439"/>
      <c r="H75" s="439"/>
      <c r="I75" s="439"/>
      <c r="J75" s="439"/>
      <c r="K75" s="439"/>
      <c r="L75" s="439"/>
      <c r="M75" s="439"/>
      <c r="N75" s="439"/>
      <c r="O75" s="439"/>
      <c r="P75" s="439"/>
      <c r="Q75" s="439"/>
      <c r="R75" s="439"/>
      <c r="S75" s="439"/>
      <c r="T75" s="439"/>
      <c r="U75" s="439"/>
      <c r="V75" s="439"/>
      <c r="W75" s="439"/>
      <c r="X75" s="439"/>
      <c r="Y75" s="439"/>
      <c r="Z75" s="439"/>
      <c r="AA75" s="439"/>
      <c r="AB75" s="439"/>
      <c r="AC75" s="439"/>
      <c r="AD75" s="439"/>
      <c r="AE75" s="440"/>
      <c r="AF75" s="427"/>
      <c r="AG75" s="428"/>
      <c r="AH75" s="428"/>
      <c r="AI75" s="428"/>
      <c r="AJ75" s="428"/>
      <c r="AK75" s="428"/>
      <c r="AL75" s="428"/>
      <c r="AM75" s="428"/>
      <c r="AN75" s="429"/>
      <c r="AO75" s="1"/>
      <c r="AP75" s="1"/>
    </row>
    <row r="76" spans="2:49" ht="9" customHeight="1" x14ac:dyDescent="0.3">
      <c r="B76" s="1"/>
      <c r="C76" s="390">
        <v>7</v>
      </c>
      <c r="D76" s="432" t="s">
        <v>65</v>
      </c>
      <c r="E76" s="433"/>
      <c r="F76" s="433"/>
      <c r="G76" s="433"/>
      <c r="H76" s="433"/>
      <c r="I76" s="433"/>
      <c r="J76" s="433"/>
      <c r="K76" s="433"/>
      <c r="L76" s="433"/>
      <c r="M76" s="433"/>
      <c r="N76" s="433"/>
      <c r="O76" s="433"/>
      <c r="P76" s="433"/>
      <c r="Q76" s="433"/>
      <c r="R76" s="433"/>
      <c r="S76" s="433"/>
      <c r="T76" s="433"/>
      <c r="U76" s="433"/>
      <c r="V76" s="433"/>
      <c r="W76" s="433"/>
      <c r="X76" s="433"/>
      <c r="Y76" s="433"/>
      <c r="Z76" s="433"/>
      <c r="AA76" s="433"/>
      <c r="AB76" s="433"/>
      <c r="AC76" s="434"/>
      <c r="AD76" s="434"/>
      <c r="AE76" s="435"/>
      <c r="AF76" s="424">
        <f>AK102</f>
        <v>0</v>
      </c>
      <c r="AG76" s="425"/>
      <c r="AH76" s="425"/>
      <c r="AI76" s="425"/>
      <c r="AJ76" s="425"/>
      <c r="AK76" s="425"/>
      <c r="AL76" s="425"/>
      <c r="AM76" s="425"/>
      <c r="AN76" s="426"/>
      <c r="AO76" s="1"/>
      <c r="AP76" s="1"/>
    </row>
    <row r="77" spans="2:49" x14ac:dyDescent="0.3">
      <c r="B77" s="1"/>
      <c r="C77" s="430"/>
      <c r="D77" s="436"/>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c r="AE77" s="437"/>
      <c r="AF77" s="441"/>
      <c r="AG77" s="442"/>
      <c r="AH77" s="442"/>
      <c r="AI77" s="442"/>
      <c r="AJ77" s="442"/>
      <c r="AK77" s="442"/>
      <c r="AL77" s="442"/>
      <c r="AM77" s="442"/>
      <c r="AN77" s="443"/>
      <c r="AO77" s="1"/>
      <c r="AP77" s="1"/>
    </row>
    <row r="78" spans="2:49" ht="12" customHeight="1" x14ac:dyDescent="0.3">
      <c r="B78" s="1"/>
      <c r="C78" s="431"/>
      <c r="D78" s="438"/>
      <c r="E78" s="439"/>
      <c r="F78" s="439"/>
      <c r="G78" s="439"/>
      <c r="H78" s="439"/>
      <c r="I78" s="439"/>
      <c r="J78" s="439"/>
      <c r="K78" s="439"/>
      <c r="L78" s="439"/>
      <c r="M78" s="439"/>
      <c r="N78" s="439"/>
      <c r="O78" s="439"/>
      <c r="P78" s="439"/>
      <c r="Q78" s="439"/>
      <c r="R78" s="439"/>
      <c r="S78" s="439"/>
      <c r="T78" s="439"/>
      <c r="U78" s="439"/>
      <c r="V78" s="439"/>
      <c r="W78" s="439"/>
      <c r="X78" s="439"/>
      <c r="Y78" s="439"/>
      <c r="Z78" s="439"/>
      <c r="AA78" s="439"/>
      <c r="AB78" s="439"/>
      <c r="AC78" s="439"/>
      <c r="AD78" s="439"/>
      <c r="AE78" s="440"/>
      <c r="AF78" s="427"/>
      <c r="AG78" s="428"/>
      <c r="AH78" s="428"/>
      <c r="AI78" s="428"/>
      <c r="AJ78" s="428"/>
      <c r="AK78" s="428"/>
      <c r="AL78" s="428"/>
      <c r="AM78" s="428"/>
      <c r="AN78" s="429"/>
      <c r="AO78" s="1"/>
      <c r="AP78" s="1"/>
    </row>
    <row r="79" spans="2:49" x14ac:dyDescent="0.3">
      <c r="B79" s="1"/>
      <c r="C79" s="390">
        <v>8</v>
      </c>
      <c r="D79" s="432" t="s">
        <v>226</v>
      </c>
      <c r="E79" s="433"/>
      <c r="F79" s="433"/>
      <c r="G79" s="433"/>
      <c r="H79" s="433"/>
      <c r="I79" s="433"/>
      <c r="J79" s="433"/>
      <c r="K79" s="433"/>
      <c r="L79" s="433"/>
      <c r="M79" s="433"/>
      <c r="N79" s="433"/>
      <c r="O79" s="433"/>
      <c r="P79" s="433"/>
      <c r="Q79" s="433"/>
      <c r="R79" s="433"/>
      <c r="S79" s="433"/>
      <c r="T79" s="433"/>
      <c r="U79" s="433"/>
      <c r="V79" s="433"/>
      <c r="W79" s="433"/>
      <c r="X79" s="433"/>
      <c r="Y79" s="433"/>
      <c r="Z79" s="433"/>
      <c r="AA79" s="433"/>
      <c r="AB79" s="433"/>
      <c r="AC79" s="434"/>
      <c r="AD79" s="434"/>
      <c r="AE79" s="435"/>
      <c r="AF79" s="424">
        <f>IF(AND(AF27=M102,AF73&gt;AF76),ABS(AF73-AF76),0)</f>
        <v>0</v>
      </c>
      <c r="AG79" s="425"/>
      <c r="AH79" s="425"/>
      <c r="AI79" s="425"/>
      <c r="AJ79" s="425"/>
      <c r="AK79" s="425"/>
      <c r="AL79" s="425"/>
      <c r="AM79" s="425"/>
      <c r="AN79" s="426"/>
      <c r="AO79" s="1"/>
      <c r="AP79" s="1"/>
      <c r="AQ79" s="336" t="str">
        <f>IF(AND(M102=0,AF27=0),"",IF(AND(ISNUMBER(M102),OR(ISBLANK(AF27),AF27=0)),"Please enter the amount of Salary received as arrears in the cell 1(a) at the beginning of the sheet. ",IF(AF27&lt;&gt;M102,"The sum of the amounts of salary arrears distributed over different years in Table A does not match the amount entered as salary received in arrears in cell 1(a) at the beginning of the sheet.",IF(AND(AF27=M102,AF76&gt;AF73),"You are not eligible for relief u/s 89(1), since the tax computed in accordance with Table A is greater than the tax on salary received in arrears or advance.",""))))</f>
        <v/>
      </c>
      <c r="AR79" s="336"/>
      <c r="AS79" s="336"/>
      <c r="AT79" s="336"/>
      <c r="AU79" s="336"/>
      <c r="AV79" s="336"/>
      <c r="AW79" s="175"/>
    </row>
    <row r="80" spans="2:49" x14ac:dyDescent="0.3">
      <c r="B80" s="1"/>
      <c r="C80" s="430"/>
      <c r="D80" s="436"/>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437"/>
      <c r="AF80" s="441"/>
      <c r="AG80" s="442"/>
      <c r="AH80" s="442"/>
      <c r="AI80" s="442"/>
      <c r="AJ80" s="442"/>
      <c r="AK80" s="442"/>
      <c r="AL80" s="442"/>
      <c r="AM80" s="442"/>
      <c r="AN80" s="443"/>
      <c r="AO80" s="37"/>
      <c r="AP80" s="38"/>
      <c r="AQ80" s="336"/>
      <c r="AR80" s="336"/>
      <c r="AS80" s="336"/>
      <c r="AT80" s="336"/>
      <c r="AU80" s="336"/>
      <c r="AV80" s="336"/>
      <c r="AW80" s="175"/>
    </row>
    <row r="81" spans="2:53" x14ac:dyDescent="0.3">
      <c r="B81" s="1"/>
      <c r="C81" s="431"/>
      <c r="D81" s="438"/>
      <c r="E81" s="439"/>
      <c r="F81" s="439"/>
      <c r="G81" s="439"/>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40"/>
      <c r="AF81" s="427"/>
      <c r="AG81" s="428"/>
      <c r="AH81" s="428"/>
      <c r="AI81" s="428"/>
      <c r="AJ81" s="428"/>
      <c r="AK81" s="428"/>
      <c r="AL81" s="428"/>
      <c r="AM81" s="428"/>
      <c r="AN81" s="429"/>
      <c r="AO81" s="39"/>
      <c r="AP81" s="38"/>
      <c r="AQ81" s="336"/>
      <c r="AR81" s="336"/>
      <c r="AS81" s="336"/>
      <c r="AT81" s="336"/>
      <c r="AU81" s="336"/>
      <c r="AV81" s="336"/>
      <c r="AW81" s="175"/>
    </row>
    <row r="82" spans="2:53" ht="6"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53" x14ac:dyDescent="0.3">
      <c r="B83" s="1"/>
      <c r="C83" s="1"/>
      <c r="D83" s="1"/>
      <c r="E83" s="1"/>
      <c r="F83" s="1"/>
      <c r="G83" s="1"/>
      <c r="H83" s="1"/>
      <c r="I83" s="1"/>
      <c r="J83" s="1"/>
      <c r="K83" s="1"/>
      <c r="L83" s="1"/>
      <c r="M83" s="1"/>
      <c r="N83" s="1"/>
      <c r="O83" s="1"/>
      <c r="P83" s="1"/>
      <c r="Q83" s="385" t="s">
        <v>66</v>
      </c>
      <c r="R83" s="385"/>
      <c r="S83" s="385"/>
      <c r="T83" s="385"/>
      <c r="U83" s="385"/>
      <c r="V83" s="385"/>
      <c r="W83" s="385"/>
      <c r="X83" s="385"/>
      <c r="Y83" s="1"/>
      <c r="Z83" s="73" t="s">
        <v>125</v>
      </c>
      <c r="AA83" s="1"/>
      <c r="AB83" s="1"/>
      <c r="AC83" s="1"/>
      <c r="AD83" s="1"/>
      <c r="AE83" s="1"/>
      <c r="AF83" s="1"/>
      <c r="AG83" s="1"/>
      <c r="AH83" s="1"/>
      <c r="AI83" s="1"/>
      <c r="AJ83" s="1"/>
      <c r="AK83" s="1"/>
      <c r="AL83" s="1"/>
      <c r="AM83" s="1"/>
      <c r="AN83" s="1"/>
      <c r="AO83" s="1"/>
      <c r="AP83" s="1"/>
    </row>
    <row r="84" spans="2:53" x14ac:dyDescent="0.3">
      <c r="B84" s="1"/>
      <c r="C84" s="1"/>
      <c r="D84" s="1"/>
      <c r="E84" s="1"/>
      <c r="F84" s="1"/>
      <c r="G84" s="1"/>
      <c r="H84" s="1"/>
      <c r="I84" s="1"/>
      <c r="J84" s="1"/>
      <c r="K84" s="1"/>
      <c r="L84" s="1"/>
      <c r="M84" s="1"/>
      <c r="N84" s="1"/>
      <c r="O84" s="347" t="s">
        <v>67</v>
      </c>
      <c r="P84" s="347"/>
      <c r="Q84" s="347"/>
      <c r="R84" s="347"/>
      <c r="S84" s="347"/>
      <c r="T84" s="347"/>
      <c r="U84" s="347"/>
      <c r="V84" s="347"/>
      <c r="W84" s="347"/>
      <c r="X84" s="347"/>
      <c r="Y84" s="347"/>
      <c r="Z84" s="347"/>
      <c r="AA84" s="347"/>
      <c r="AB84" s="1"/>
      <c r="AC84" s="1"/>
      <c r="AD84" s="1"/>
      <c r="AE84" s="1"/>
      <c r="AF84" s="1"/>
      <c r="AG84" s="1"/>
      <c r="AH84" s="1"/>
      <c r="AI84" s="1"/>
      <c r="AJ84" s="1"/>
      <c r="AK84" s="1"/>
      <c r="AL84" s="1"/>
      <c r="AM84" s="1"/>
      <c r="AN84" s="1"/>
      <c r="AO84" s="1"/>
      <c r="AP84" s="1"/>
    </row>
    <row r="85" spans="2:53" ht="15" customHeight="1" x14ac:dyDescent="0.3">
      <c r="B85" s="469" t="s">
        <v>211</v>
      </c>
      <c r="C85" s="470"/>
      <c r="D85" s="470"/>
      <c r="E85" s="470"/>
      <c r="F85" s="471"/>
      <c r="G85" s="469" t="s">
        <v>68</v>
      </c>
      <c r="H85" s="478"/>
      <c r="I85" s="478"/>
      <c r="J85" s="478"/>
      <c r="K85" s="478"/>
      <c r="L85" s="479"/>
      <c r="M85" s="486" t="s">
        <v>78</v>
      </c>
      <c r="N85" s="487"/>
      <c r="O85" s="487"/>
      <c r="P85" s="487"/>
      <c r="Q85" s="487"/>
      <c r="R85" s="488"/>
      <c r="S85" s="469" t="s">
        <v>79</v>
      </c>
      <c r="T85" s="478"/>
      <c r="U85" s="478"/>
      <c r="V85" s="478"/>
      <c r="W85" s="478"/>
      <c r="X85" s="479"/>
      <c r="Y85" s="469" t="s">
        <v>69</v>
      </c>
      <c r="Z85" s="478"/>
      <c r="AA85" s="478"/>
      <c r="AB85" s="478"/>
      <c r="AC85" s="478"/>
      <c r="AD85" s="479"/>
      <c r="AE85" s="495" t="s">
        <v>70</v>
      </c>
      <c r="AF85" s="478"/>
      <c r="AG85" s="478"/>
      <c r="AH85" s="478"/>
      <c r="AI85" s="478"/>
      <c r="AJ85" s="479"/>
      <c r="AK85" s="496" t="s">
        <v>71</v>
      </c>
      <c r="AL85" s="478"/>
      <c r="AM85" s="478"/>
      <c r="AN85" s="478"/>
      <c r="AO85" s="478"/>
      <c r="AP85" s="479"/>
    </row>
    <row r="86" spans="2:53" x14ac:dyDescent="0.3">
      <c r="B86" s="472"/>
      <c r="C86" s="473"/>
      <c r="D86" s="473"/>
      <c r="E86" s="473"/>
      <c r="F86" s="474"/>
      <c r="G86" s="480"/>
      <c r="H86" s="481"/>
      <c r="I86" s="481"/>
      <c r="J86" s="481"/>
      <c r="K86" s="481"/>
      <c r="L86" s="482"/>
      <c r="M86" s="489"/>
      <c r="N86" s="490"/>
      <c r="O86" s="490"/>
      <c r="P86" s="490"/>
      <c r="Q86" s="490"/>
      <c r="R86" s="491"/>
      <c r="S86" s="480"/>
      <c r="T86" s="481"/>
      <c r="U86" s="481"/>
      <c r="V86" s="481"/>
      <c r="W86" s="481"/>
      <c r="X86" s="482"/>
      <c r="Y86" s="480"/>
      <c r="Z86" s="481"/>
      <c r="AA86" s="481"/>
      <c r="AB86" s="481"/>
      <c r="AC86" s="481"/>
      <c r="AD86" s="482"/>
      <c r="AE86" s="480"/>
      <c r="AF86" s="481"/>
      <c r="AG86" s="481"/>
      <c r="AH86" s="481"/>
      <c r="AI86" s="481"/>
      <c r="AJ86" s="482"/>
      <c r="AK86" s="480"/>
      <c r="AL86" s="481"/>
      <c r="AM86" s="481"/>
      <c r="AN86" s="481"/>
      <c r="AO86" s="481"/>
      <c r="AP86" s="482"/>
    </row>
    <row r="87" spans="2:53" x14ac:dyDescent="0.3">
      <c r="B87" s="472"/>
      <c r="C87" s="473"/>
      <c r="D87" s="473"/>
      <c r="E87" s="473"/>
      <c r="F87" s="474"/>
      <c r="G87" s="480"/>
      <c r="H87" s="481"/>
      <c r="I87" s="481"/>
      <c r="J87" s="481"/>
      <c r="K87" s="481"/>
      <c r="L87" s="482"/>
      <c r="M87" s="489"/>
      <c r="N87" s="490"/>
      <c r="O87" s="490"/>
      <c r="P87" s="490"/>
      <c r="Q87" s="490"/>
      <c r="R87" s="491"/>
      <c r="S87" s="480"/>
      <c r="T87" s="481"/>
      <c r="U87" s="481"/>
      <c r="V87" s="481"/>
      <c r="W87" s="481"/>
      <c r="X87" s="482"/>
      <c r="Y87" s="480"/>
      <c r="Z87" s="481"/>
      <c r="AA87" s="481"/>
      <c r="AB87" s="481"/>
      <c r="AC87" s="481"/>
      <c r="AD87" s="482"/>
      <c r="AE87" s="480"/>
      <c r="AF87" s="481"/>
      <c r="AG87" s="481"/>
      <c r="AH87" s="481"/>
      <c r="AI87" s="481"/>
      <c r="AJ87" s="482"/>
      <c r="AK87" s="480"/>
      <c r="AL87" s="481"/>
      <c r="AM87" s="481"/>
      <c r="AN87" s="481"/>
      <c r="AO87" s="481"/>
      <c r="AP87" s="482"/>
    </row>
    <row r="88" spans="2:53" x14ac:dyDescent="0.3">
      <c r="B88" s="472"/>
      <c r="C88" s="473"/>
      <c r="D88" s="473"/>
      <c r="E88" s="473"/>
      <c r="F88" s="474"/>
      <c r="G88" s="480"/>
      <c r="H88" s="481"/>
      <c r="I88" s="481"/>
      <c r="J88" s="481"/>
      <c r="K88" s="481"/>
      <c r="L88" s="482"/>
      <c r="M88" s="489"/>
      <c r="N88" s="490"/>
      <c r="O88" s="490"/>
      <c r="P88" s="490"/>
      <c r="Q88" s="490"/>
      <c r="R88" s="491"/>
      <c r="S88" s="480"/>
      <c r="T88" s="481"/>
      <c r="U88" s="481"/>
      <c r="V88" s="481"/>
      <c r="W88" s="481"/>
      <c r="X88" s="482"/>
      <c r="Y88" s="480"/>
      <c r="Z88" s="481"/>
      <c r="AA88" s="481"/>
      <c r="AB88" s="481"/>
      <c r="AC88" s="481"/>
      <c r="AD88" s="482"/>
      <c r="AE88" s="480"/>
      <c r="AF88" s="481"/>
      <c r="AG88" s="481"/>
      <c r="AH88" s="481"/>
      <c r="AI88" s="481"/>
      <c r="AJ88" s="482"/>
      <c r="AK88" s="480"/>
      <c r="AL88" s="481"/>
      <c r="AM88" s="481"/>
      <c r="AN88" s="481"/>
      <c r="AO88" s="481"/>
      <c r="AP88" s="482"/>
    </row>
    <row r="89" spans="2:53" x14ac:dyDescent="0.3">
      <c r="B89" s="472"/>
      <c r="C89" s="473"/>
      <c r="D89" s="473"/>
      <c r="E89" s="473"/>
      <c r="F89" s="474"/>
      <c r="G89" s="480"/>
      <c r="H89" s="481"/>
      <c r="I89" s="481"/>
      <c r="J89" s="481"/>
      <c r="K89" s="481"/>
      <c r="L89" s="482"/>
      <c r="M89" s="489"/>
      <c r="N89" s="490"/>
      <c r="O89" s="490"/>
      <c r="P89" s="490"/>
      <c r="Q89" s="490"/>
      <c r="R89" s="491"/>
      <c r="S89" s="480"/>
      <c r="T89" s="481"/>
      <c r="U89" s="481"/>
      <c r="V89" s="481"/>
      <c r="W89" s="481"/>
      <c r="X89" s="482"/>
      <c r="Y89" s="480"/>
      <c r="Z89" s="481"/>
      <c r="AA89" s="481"/>
      <c r="AB89" s="481"/>
      <c r="AC89" s="481"/>
      <c r="AD89" s="482"/>
      <c r="AE89" s="480"/>
      <c r="AF89" s="481"/>
      <c r="AG89" s="481"/>
      <c r="AH89" s="481"/>
      <c r="AI89" s="481"/>
      <c r="AJ89" s="482"/>
      <c r="AK89" s="480"/>
      <c r="AL89" s="481"/>
      <c r="AM89" s="481"/>
      <c r="AN89" s="481"/>
      <c r="AO89" s="481"/>
      <c r="AP89" s="482"/>
    </row>
    <row r="90" spans="2:53" ht="105" customHeight="1" x14ac:dyDescent="0.3">
      <c r="B90" s="475"/>
      <c r="C90" s="476"/>
      <c r="D90" s="476"/>
      <c r="E90" s="476"/>
      <c r="F90" s="477"/>
      <c r="G90" s="483"/>
      <c r="H90" s="484"/>
      <c r="I90" s="484"/>
      <c r="J90" s="484"/>
      <c r="K90" s="484"/>
      <c r="L90" s="485"/>
      <c r="M90" s="492"/>
      <c r="N90" s="493"/>
      <c r="O90" s="493"/>
      <c r="P90" s="493"/>
      <c r="Q90" s="493"/>
      <c r="R90" s="494"/>
      <c r="S90" s="483"/>
      <c r="T90" s="484"/>
      <c r="U90" s="484"/>
      <c r="V90" s="484"/>
      <c r="W90" s="484"/>
      <c r="X90" s="485"/>
      <c r="Y90" s="483"/>
      <c r="Z90" s="484"/>
      <c r="AA90" s="484"/>
      <c r="AB90" s="484"/>
      <c r="AC90" s="484"/>
      <c r="AD90" s="485"/>
      <c r="AE90" s="483"/>
      <c r="AF90" s="484"/>
      <c r="AG90" s="484"/>
      <c r="AH90" s="484"/>
      <c r="AI90" s="484"/>
      <c r="AJ90" s="485"/>
      <c r="AK90" s="483"/>
      <c r="AL90" s="484"/>
      <c r="AM90" s="484"/>
      <c r="AN90" s="484"/>
      <c r="AO90" s="484"/>
      <c r="AP90" s="485"/>
    </row>
    <row r="91" spans="2:53" x14ac:dyDescent="0.3">
      <c r="B91" s="465">
        <v>1</v>
      </c>
      <c r="C91" s="263"/>
      <c r="D91" s="263"/>
      <c r="E91" s="263"/>
      <c r="F91" s="278"/>
      <c r="G91" s="465">
        <v>2</v>
      </c>
      <c r="H91" s="263"/>
      <c r="I91" s="263"/>
      <c r="J91" s="263"/>
      <c r="K91" s="263"/>
      <c r="L91" s="278"/>
      <c r="M91" s="465">
        <v>3</v>
      </c>
      <c r="N91" s="263"/>
      <c r="O91" s="263"/>
      <c r="P91" s="263"/>
      <c r="Q91" s="263"/>
      <c r="R91" s="278"/>
      <c r="S91" s="465">
        <v>4</v>
      </c>
      <c r="T91" s="466"/>
      <c r="U91" s="466"/>
      <c r="V91" s="466"/>
      <c r="W91" s="466"/>
      <c r="X91" s="467"/>
      <c r="Y91" s="465">
        <v>5</v>
      </c>
      <c r="Z91" s="263"/>
      <c r="AA91" s="263"/>
      <c r="AB91" s="263"/>
      <c r="AC91" s="263"/>
      <c r="AD91" s="278"/>
      <c r="AE91" s="465">
        <v>6</v>
      </c>
      <c r="AF91" s="466"/>
      <c r="AG91" s="466"/>
      <c r="AH91" s="466"/>
      <c r="AI91" s="466"/>
      <c r="AJ91" s="278"/>
      <c r="AK91" s="468">
        <v>7</v>
      </c>
      <c r="AL91" s="263"/>
      <c r="AM91" s="263"/>
      <c r="AN91" s="263"/>
      <c r="AO91" s="263"/>
      <c r="AP91" s="278"/>
    </row>
    <row r="92" spans="2:53" x14ac:dyDescent="0.3">
      <c r="B92" s="452"/>
      <c r="C92" s="453"/>
      <c r="D92" s="453"/>
      <c r="E92" s="453"/>
      <c r="F92" s="454"/>
      <c r="G92" s="455"/>
      <c r="H92" s="456"/>
      <c r="I92" s="456"/>
      <c r="J92" s="456"/>
      <c r="K92" s="456"/>
      <c r="L92" s="457"/>
      <c r="M92" s="455"/>
      <c r="N92" s="456"/>
      <c r="O92" s="456"/>
      <c r="P92" s="456"/>
      <c r="Q92" s="456"/>
      <c r="R92" s="457"/>
      <c r="S92" s="458">
        <f>SUM(G92,M92)</f>
        <v>0</v>
      </c>
      <c r="T92" s="459"/>
      <c r="U92" s="459"/>
      <c r="V92" s="459"/>
      <c r="W92" s="459"/>
      <c r="X92" s="460"/>
      <c r="Y92" s="458">
        <f>MROUND(SUM(AV92,AW92),10)</f>
        <v>0</v>
      </c>
      <c r="Z92" s="459"/>
      <c r="AA92" s="459"/>
      <c r="AB92" s="459"/>
      <c r="AC92" s="459"/>
      <c r="AD92" s="460"/>
      <c r="AE92" s="458">
        <f>SUM(AZ92,BA92)</f>
        <v>0</v>
      </c>
      <c r="AF92" s="459"/>
      <c r="AG92" s="459"/>
      <c r="AH92" s="459"/>
      <c r="AI92" s="459"/>
      <c r="AJ92" s="461"/>
      <c r="AK92" s="462">
        <f>ABS(AE92-Y92)</f>
        <v>0</v>
      </c>
      <c r="AL92" s="463"/>
      <c r="AM92" s="463"/>
      <c r="AN92" s="463"/>
      <c r="AO92" s="463"/>
      <c r="AP92" s="464"/>
      <c r="AQ92" s="36" t="str">
        <f>IF(AND(OR(NOT(ISBLANK(G92)),NOT(ISBLANK(M92))),OR(ISBLANK(B92),B92="Select")),"Please select a Financial Year","")</f>
        <v/>
      </c>
      <c r="AT92" s="6">
        <f>IF( AND(OR(B92="2005-2006",B92="2006-2007"),$U$22&lt;&gt;"Female"),IF( MROUND(G92,10)&lt;= 100000, 0, IF(AND(MROUND(G92,10)&gt; 100000,MROUND(G92,10)&lt;= 150000),  ROUND(ABS(MROUND(G92,10)- 100000)*0.1,0), IF(AND(MROUND(G92,10)&gt; 150000, MROUND(G92,10)&lt;= 250000), ROUND(5000+ ABS(MROUND(G92,10)- 150000)*0.2,0),IF(MROUND(G92,10)&gt; 250000,  ROUND(25000+ABS(MROUND(G92,10)- 250000)*0.3,0),  0)))),IF(AND(OR(B92="2005-2006",B92="2006-2007"),$U$22="Female"),IF(MROUND(G92,10)&lt;= 135000, 0, IF(AND(MROUND(G92,10)&gt; 135000, MROUND(G92,10)&lt;= 150000), ROUND(ABS(MROUND(G92,10)- 135000)*0.1,0), IF(AND(MROUND(G92,10)&gt; 150000, MROUND(G92,10)&lt;= 250000), ROUND(1500+ ABS(MROUND(G92,10)- 150000)*0.2,0),  IF(MROUND(G92,10)&gt; 250000, ROUND(21500+ABS(MROUND(G92,10)- 250000)*0.3,0),0)))),IF(AND(B92="2007-2008",$U$22&lt;&gt;"Female"), IF(MROUND(G92,10)&lt;= 110000,  0,  IF(AND(MROUND(G92,10)&gt; 110000, MROUND(G92,10)&lt;= 150000), ROUND(ABS(MROUND(G92,10)- 110000)*0.1,0),  IF(AND(MROUND(G92,10)&gt; 150000, MROUND(G92,10)&lt;= 250000),  ROUND(4000+ ABS(MROUND(G92,10)- 150000)*0.2,0),   IF(MROUND(G92,10)&gt; 250000,   ROUND(24000+ABS(MROUND(G92,10)- 250000)*0.3,0),0)))),IF(AND(B92="2007-2008",$U$22="Female"), IF(MROUND(G92,10)&lt;= 145000, 0, IF(AND(MROUND(G92,10)&gt; 145000, MROUND(G92,10)&lt;= 150000),     ROUND(ABS(MROUND(G92,10)- 145000)*0.1,0),  IF(AND(MROUND(G92,10)&gt; 150000, MROUND(G92,10)&lt;= 250000),  ROUND(500+ ABS(MROUND(G92,10)- 150000)*0.2,0),  IF(MROUND(G92,10)&gt; 250000, ROUND(20500+ABS(MROUND(G92,10)- 250000)*0.3,0),0)))), IF(AND(B92="2008-2009",$U$22&lt;&gt;"Female"), IF(MROUND(G92,10)&lt;= 150000, 0, IF(AND(MROUND(G92,10)&gt; 150000, MROUND(G92,10)&lt;= 300000), ROUND(ABS(MROUND(G92,10)- 150000)*0.1,0), IF(AND(MROUND(G92,10)&gt; 300000, MROUND(G92,10)&lt;= 500000),  ROUND(15000+ ABS(MROUND(G92,10)- 300000)*0.2,0),  IF(MROUND(G92,10)&gt; 500000,  ROUND(55000+ABS(MROUND(G92,10)- 500000)*0.3,0),0)))), IF(AND(B92="2008-2009",$U$22="Female"), IF(MROUND(G92,10)&lt;= 180000, 0, IF(AND(MROUND(G92,10)&gt; 180000, MROUND(G92,10)&lt;= 300000), ROUND(ABS(MROUND(G92,10)- 180000)*0.1,0), IF(AND(MROUND(G92,10)&gt; 300000, MROUND(G92,10)&lt;= 500000), ROUND(12000+ ABS(MROUND(G92,10)- 300000)*0.2,0),  IF(MROUND(G92,10)&gt; 500000,  ROUND(52000+ABS(MROUND(G92,10)- 500000)*0.3,0),0)))), IF(AND(B92="2009-2010", $U$22&lt;&gt;"Female"), IF(MROUND(G92,10)&lt;= 160000, 0, IF(AND(MROUND(G92,10)&gt; 160000, MROUND(G92,10)&lt;= 300000),ROUND(ABS(MROUND(G92,10)- 160000)*0.1,0), IF(AND(MROUND(G92,10)&gt; 300000, MROUND(G92,10)&lt;= 500000),ROUND(14000+ ABS(MROUND(G92,10)- 300000)*0.2,0),  IF(MROUND(G92,10)&gt; 500000, ROUND(54000+ABS(MROUND(G92,10)- 500000)*0.3,0),0)))),IF(AND(B92="2009-2010",$U$22="Female"), IF(MROUND(G92,10)&lt;= 190000, 0, IF(AND(MROUND(G92,10)&gt; 190000, MROUND(G92,10)&lt;= 300000),ROUND(ABS(MROUND(G92,10)- 190000)*0.1,0), IF(AND(MROUND(G92,10)&gt; 300000, MROUND(G92,10)&lt;= 500000), ROUND(11000+ ABS(MROUND(G92,10)- 300000)*0.2,0),IF(MROUND(G92,10)&gt; 500000,  ROUND(51000+ABS(MROUND(G92,10)- 500000)*0.3,0),0)))), IF(AND(B92="2010-2011",$U$22&lt;&gt;"Female"), IF(MROUND(G92,10)&lt;= 160000, 0, IF(AND(MROUND(G92,10)&gt; 160000, MROUND(G92,10)&lt;= 500000), ROUND(ABS(MROUND(G92,10)- 160000)*0.1,0), IF(AND(MROUND(G92,10)&gt; 500000, MROUND(G92,10)&lt;= 800000), ROUND(34000+ ABS(MROUND(G92,10)- 500000)*0.2,0),  IF(MROUND(G92,10)&gt; 800000,  ROUND(94000+ABS(MROUND(G92,10)- 800000)*0.3,0),0)))), IF(AND(OR(B92="2010-2011",B92="2011-2012"),$U$22="Female"), IF(MROUND(G92,10)&lt;= 190000, 0, IF(AND(MROUND(G92,10)&gt; 190000, MROUND(G92,10)&lt;= 500000), ROUND(ABS(MROUND(G92,10)- 190000)*0.1,0), IF(AND(MROUND(G92,10)&gt; 500000, MROUND(G92,10)&lt;= 800000),  ROUND(31000+ ABS(MROUND(G92,10)- 500000)*0.2,0),  IF(MROUND(G92,10)&gt; 800000,  ROUND(91000+ABS(MROUND(G92,10)- 800000)*0.3,0),0)))), IF(AND(B92="2011-2012", $U$22&lt;&gt;"Female"), IF(MROUND(G92,10)&lt;= 180000, 0, IF(AND(MROUND(G92,10)&gt; 180000, MROUND(G92,10)&lt;= 500000), ROUND(ABS(MROUND(G92,10)- 180000)*0.1,0), IF(AND(MROUND(G92,10)&gt; 500000, MROUND(G92,10)&lt;= 800000),  ROUND(32000+ ABS(MROUND(G92,10)- 500000)*0.2,0),  IF(MROUND(G92,10)&gt; 800000,  ROUND(92000+ABS(MROUND(G92,10)- 800000)*0.3,0),0)))), IF(OR(B92="2012-2013",B92="2013-2014"), IF(MROUND(G92,10)&lt;= 200000, 0, IF(AND(MROUND(G92,10)&gt; 200000, MROUND(G92,10)&lt;= 500000), ROUND(ABS(MROUND(G92,10)- 200000)*0.1,0), IF(AND(MROUND(G92,10)&gt; 500000, MROUND(G92,10)&lt;= 1000000),  ROUND(30000+ ABS(MROUND(G92,10)- 500000)*0.2,0),  IF(MROUND(G92,10)&gt; 1000000,  ROUND(130000+ABS(MROUND(G92,10)- 1000000)*0.3,0),0)))), IF(OR(B92="2014-2015", B92="2015-2016",B92="2016-2017"), IF(MROUND(G92,10)&lt;= 250000, 0, IF(AND(MROUND(G92,10)&gt; 250000, MROUND(G92,10)&lt;= 500000), ROUND(ABS(MROUND(G92,10)- 250000)*0.1,0), IF(AND(MROUND(G92,10)&gt; 500000, MROUND(G92,10)&lt;= 1000000),  ROUND(25000+ ABS(MROUND(G92,10)- 500000)*0.2,0),  IF(MROUND(G92,10)&gt; 1000000,  ROUND(125000+ABS(MROUND(G92,10)- 1000000)*0.3,0), 0)))), IF(OR(B92="2017-2018",B92="2018-2019",B92="2019-2020",AND(B92="2020-2021",'Basic Information'!$AG$12="No"),AND(B92="2021-2022",'Basic Information'!$AG$15="No"),AND(B92="2022-2023",'Basic Information'!$AG$18="No"),AND(B92="2023-2024",'Basic Information'!$AG$21="Yes"),AND(B92="2024-2025",'Basic Information'!$AG$24="Yes")), IF(MROUND(G92,10)&lt;= 250000, 0, IF(AND(MROUND(G92,10)&gt; 250000, MROUND(G92,10)&lt;= 500000), ROUND(ABS(MROUND(G92,10)- 250000)*0.05,0), IF(AND(MROUND(G92,10)&gt; 500000, MROUND(G92,10)&lt;= 1000000),  ROUND(12500+ ABS(MROUND(G92,10)- 500000)*0.2,0),  IF(MROUND(G92,10)&gt; 1000000,  ROUND(112500+ABS(MROUND(G92,10)- 1000000)*0.3,0), 0)))),IF(OR(AND(B92="2020-2021",'Basic Information'!$AG$12="Yes"),AND(B92="2021-2022",'Basic Information'!$AG$15="Yes"),AND(B92="2022-2023",'Basic Information'!$AG$18="Yes")), IF(MROUND(G92,10)&lt;= 250000, 0, IF(AND(MROUND(G92,10)&gt; 250000, MROUND(G92,10)&lt;= 500000), ROUND(ABS(MROUND(G92,10)- 250000)*0.05,0), IF(AND(MROUND(G92,10)&gt; 500000, MROUND(G92,10)&lt;= 750000),  ROUND(12500+ ABS(MROUND(G92,10)- 500000)*0.1,0), IF(AND(MROUND(G92,10)&gt; 750000, MROUND(G92,10)&lt;= 1000000),  ROUND(37500+ ABS(MROUND(G92,10)- 750000)*0.15,0),IF(AND(MROUND(G92,10)&gt; 1000000, MROUND(G92,10)&lt;= 1250000),  ROUND(75000+ ABS(MROUND(G92,10)- 1000000)*0.2,0),IF(AND(MROUND(G92,10)&gt; 1250000, MROUND(G92,10)&lt;= 1500000),  ROUND(125000+ ABS(MROUND(G92,10)- 1250000)*0.25,0), IF(MROUND(G92,10)&gt; 1500000,  ROUND(187500+ABS(MROUND(G92,10)- 1500000)*0.3,0), 0))))))),IF(AND(B92="2023-2024",'Basic Information'!$AG$21="No"), IF(MROUND(G92,10)&lt;= 300000, 0, IF(AND(MROUND(G92,10)&gt; 300000, MROUND(G92,10)&lt;= 600000), ROUND(ABS(MROUND(G92,10)- 300000)*0.05,0), IF(AND(MROUND(G92,10)&gt; 600000, MROUND(G92,10)&lt;= 900000),  ROUND(15000+ ABS(MROUND(G92,10)- 600000)*0.1,0), IF(AND(MROUND(G92,10)&gt; 900000, MROUND(G92,10)&lt;= 1200000),  ROUND(45000+ ABS(MROUND(G92,10)- 900000)*0.15,0),IF(AND(MROUND(G92,10)&gt; 1200000, MROUND(G92,10)&lt;= 1500000),  ROUND(90000+ ABS(MROUND(G92,10)- 1200000)*0.2,0), IF(MROUND(G92,10)&gt; 1500000,  ROUND(150000+ABS(MROUND(G92,10)- 1500000)*0.3,0), 0)))))),IF(AND(B92="2024-2025",'Basic Information'!$AG$24="No"), IF(MROUND(G92,10)&lt;= 300000, 0, IF(AND(MROUND(G92,10)&gt; 300000, MROUND(G92,10)&lt;= 700000), ROUND(ABS(MROUND(G92,10)- 300000)*0.05,0), IF(AND(MROUND(G92,10)&gt; 700000, MROUND(G92,10)&lt;= 1000000),  ROUND(20000+ ABS(MROUND(G92,10)- 700000)*0.1,0), IF(AND(MROUND(G92,10)&gt; 1000000, MROUND(G92,10)&lt;= 1200000),  ROUND(50000+ ABS(MROUND(G92,10)- 1000000)*0.15,0),IF(AND(MROUND(G92,10)&gt; 1200000, MROUND(G92,10)&lt;= 1500000),  ROUND(80000+ ABS(MROUND(G92,10)- 1200000)*0.2,0), IF(MROUND(G92,10)&gt; 1500000,  ROUND(140000+ABS(MROUND(G92,10)- 1500000)*0.3,0), 0)))))),0)))))))))))))))))</f>
        <v>0</v>
      </c>
      <c r="AU92" s="6">
        <f>IF(OR(B92="2013-2014",B92="2014-2015",B92="2015-2016"),IF(AND(MROUND(G92,10)&lt;=500000,MROUND(G92,10)&lt;&gt;0),IF(AT92&lt;=2000, AT92,2000),0), IF(B92="2016-2017",IF(AND(MROUND(G92,10)&lt;=500000,MROUND(G92,10)&lt;&gt;0),IF(AT92&lt;=5000, AT92,5000),0), IF(OR(B92="2017-2018",B92="2018-2019"),IF(AND(MROUND(G92,10)&lt;=350000,MROUND(G92,10)&lt;&gt;0),IF(AT92&lt;=2500, AT92,2500),0), IF(OR(B92="2019-2020",B92="2020-2021",B92="2021-2022",B92="2022-2023",AND(B92="2023-2024",'Basic Information'!$AG$21="Yes"),AND(B92="2024-2025",'Basic Information'!$AG$24="Yes")),IF(AND(MROUND(G92,10)&lt;=500000,MROUND(G92,10)&lt;&gt;0),IF(AT92&lt;=12500, AT92,12500),0), IF(OR(AND(B92="2023-2024",'Basic Information'!$AG$21="No")),IF(AND(MROUND(G92,10)&lt;=700000,MROUND(G92,10)&lt;&gt;0),IF(AT92&lt;=25000, AT92,25000),IF(AND(MROUND(G92,10)&lt;&gt;0,(MROUND(G92,10)-700000)&lt;=AT92),AT92-(MROUND(G92,10)-700000),0)), IF(OR(AND(B92="2024-2025",'Basic Information'!$AG$24="No")),IF(AND(MROUND(G92,10)&lt;=700000,MROUND(G92,10)&lt;&gt;0),IF(AT92&lt;=20000, AT92,20000),IF(AND(MROUND(G92,10)&lt;&gt;0,(MROUND(G92,10)-700000)&lt;=AT92),AT92-(MROUND(G92,10)-700000),0)),0))))))</f>
        <v>0</v>
      </c>
      <c r="AV92" s="6">
        <f>IF((AT92&lt;AU92),0,ROUND(ABS(AT92- AU92),0))</f>
        <v>0</v>
      </c>
      <c r="AW92" s="6">
        <f>IF(OR(B92="2005-2006",B92="2006-2007"),ROUND(AV92*0.02,0),IF(OR(B92="2018-2019",B92="2019-2020",B92="2020-2021",B92="2021-2022",B92="2022-2023",B92="2023-2024",B92="2024-2025"),ROUND(AV92*0.04,0),ROUND(AV92*0.03,0)))</f>
        <v>0</v>
      </c>
      <c r="AX92" s="6">
        <f>IF( AND(OR(B92="2005-2006",B92="2006-2007"),$U$22&lt;&gt;"Female"),IF( MROUND(S92,10)&lt;= 100000, 0, IF(AND(MROUND(S92,10)&gt; 100000,MROUND(S92,10)&lt;= 150000),  ROUND(ABS(MROUND(S92,10)- 100000)*0.1,0), IF(AND(MROUND(S92,10)&gt; 150000, MROUND(S92,10)&lt;= 250000), ROUND(5000+ ABS(MROUND(S92,10)- 150000)*0.2,0),IF(MROUND(S92,10)&gt; 250000,  ROUND(25000+ABS(MROUND(S92,10)- 250000)*0.3,0),  0)))),IF(AND(OR(B92="2005-2006",B92="2006-2007"),$U$22="Female"),IF(MROUND(S92,10)&lt;= 135000, 0, IF(AND(MROUND(S92,10)&gt; 135000, MROUND(S92,10)&lt;= 150000), ROUND(ABS(MROUND(S92,10)- 135000)*0.1,0), IF(AND(MROUND(S92,10)&gt; 150000, MROUND(S92,10)&lt;= 250000), ROUND(1500+ ABS(MROUND(S92,10)- 150000)*0.2,0),  IF(MROUND(S92,10)&gt; 250000, ROUND(21500+ABS(MROUND(S92,10)- 250000)*0.3,0),0)))),IF(AND(B92="2007-2008",$U$22&lt;&gt;"Female"), IF(MROUND(S92,10)&lt;= 110000,  0,  IF(AND(MROUND(S92,10)&gt; 110000, MROUND(S92,10)&lt;= 150000),     ROUND(ABS(MROUND(S92,10)- 110000)*0.1,0),  IF(AND(MROUND(S92,10)&gt; 150000, MROUND(S92,10)&lt;= 250000),  ROUND(4000+ ABS(MROUND(S92,10)- 150000)*0.2,0),   IF(MROUND(S92,10)&gt; 250000,   ROUND(24000+ABS(MROUND(S92,10)- 250000)*0.3,0),0)))),IF(AND(B92="2007-2008",$U$22="Female"), IF(MROUND(S92,10)&lt;= 145000, 0, IF(AND(MROUND(S92,10)&gt; 145000, MROUND(S92,10)&lt;= 150000),     ROUND(ABS(MROUND(S92,10)- 145000)*0.1,0),  IF(AND(MROUND(S92,10)&gt; 150000, MROUND(S92,10)&lt;= 250000),  ROUND(500+ ABS(MROUND(S92,10)- 150000)*0.2,0),  IF(MROUND(S92,10)&gt; 250000, ROUND(20500+ABS(MROUND(S92,10)- 250000)*0.3,0),0)))), IF(AND(B92="2008-2009",$U$22&lt;&gt;"Female"), IF(MROUND(S92,10)&lt;= 150000, 0, IF(AND(MROUND(S92,10)&gt; 150000, MROUND(S92,10)&lt;= 300000), ROUND(ABS(MROUND(S92,10)- 150000)*0.1,0), IF(AND(MROUND(S92,10)&gt; 300000, MROUND(S92,10)&lt;= 500000),  ROUND(15000+ ABS(MROUND(S92,10)- 300000)*0.2,0),  IF(MROUND(S92,10)&gt; 500000,  ROUND(55000+ABS(MROUND(S92,10)- 500000)*0.3,0),0)))), IF(AND(B92="2008-2009",$U$22="Female"), IF(MROUND(S92,10)&lt;= 180000, 0, IF(AND(MROUND(S92,10)&gt; 180000, MROUND(S92,10)&lt;= 300000), ROUND(ABS(MROUND(S92,10)- 180000)*0.1,0), IF(AND(MROUND(S92,10)&gt; 300000, MROUND(S92,10)&lt;= 500000), ROUND(12000+ ABS(MROUND(S92,10)- 300000)*0.2,0),  IF(MROUND(S92,10)&gt; 500000,  ROUND(52000+ABS(MROUND(S92,10)- 500000)*0.3,0),0)))), IF(AND(B92="2009-2010", $U$22&lt;&gt;"Female"), IF(MROUND(S92,10)&lt;= 160000, 0, IF(AND(MROUND(S92,10)&gt; 160000, MROUND(S92,10)&lt;= 300000),ROUND(ABS(MROUND(S92,10)- 160000)*0.1,0), IF(AND(MROUND(S92,10)&gt; 300000, MROUND(S92,10)&lt;= 500000),ROUND(14000+ ABS(MROUND(S92,10)- 300000)*0.2,0),  IF(MROUND(S92,10)&gt; 500000, ROUND(54000+ABS(MROUND(S92,10)- 500000)*0.3,0),0)))),IF(AND(B92="2009-2010",$U$22="Female"), IF(MROUND(S92,10)&lt;= 190000, 0, IF(AND(MROUND(S92,10)&gt; 190000, MROUND(S92,10)&lt;= 300000),ROUND(ABS(MROUND(S92,10)- 190000)*0.1,0), IF(AND(MROUND(S92,10)&gt; 300000, MROUND(S92,10)&lt;= 500000), ROUND(11000+ ABS(MROUND(S92,10)- 300000)*0.2,0),IF(MROUND(S92,10)&gt; 500000,  ROUND(51000+ABS(MROUND(S92,10)- 500000)*0.3,0),0)))), IF(AND(B92="2010-2011",$U$22&lt;&gt;"Female"), IF(MROUND(S92,10)&lt;= 160000, 0, IF(AND(MROUND(S92,10)&gt; 160000, MROUND(S92,10)&lt;= 500000), ROUND(ABS(MROUND(S92,10)- 160000)*0.1,0), IF(AND(MROUND(S92,10)&gt; 500000, MROUND(S92,10)&lt;= 800000), ROUND(34000+ ABS(MROUND(S92,10)- 500000)*0.2,0),  IF(MROUND(S92,10)&gt; 800000,  ROUND(94000+ABS(MROUND(S92,10)- 800000)*0.3,0),0)))), IF(AND(OR(B92="2010-2011",B92="2011-2012"),$U$22="Female"), IF(MROUND(S92,10)&lt;= 190000, 0, IF(AND(MROUND(S92,10)&gt; 190000, MROUND(S92,10)&lt;= 500000), ROUND(ABS(MROUND(S92,10)- 190000)*0.1,0), IF(AND(MROUND(S92,10)&gt; 500000, MROUND(S92,10)&lt;= 800000),  ROUND(31000+ ABS(MROUND(S92,10)- 500000)*0.2,0),  IF(MROUND(S92,10)&gt; 800000,  ROUND(91000+ABS(MROUND(S92,10)- 800000)*0.3,0),0)))), IF(AND(B92="2011-2012", $U$22&lt;&gt;"Female"), IF(MROUND(S92,10)&lt;= 180000, 0, IF(AND(MROUND(S92,10)&gt; 180000, MROUND(S92,10)&lt;= 500000), ROUND(ABS(MROUND(S92,10)- 180000)*0.1,0), IF(AND(MROUND(S92,10)&gt; 500000, MROUND(S92,10)&lt;= 800000),  ROUND(32000+ ABS(MROUND(S92,10)- 500000)*0.2,0),  IF(MROUND(S92,10)&gt; 800000,  ROUND(92000+ABS(MROUND(S92,10)- 800000)*0.3,0),0)))), IF(OR(B92="2012-2013",B92="2013-2014"), IF(MROUND(S92,10)&lt;= 200000, 0, IF(AND(MROUND(S92,10)&gt; 200000, MROUND(S92,10)&lt;= 500000), ROUND(ABS(MROUND(S92,10)- 200000)*0.1,0), IF(AND(MROUND(S92,10)&gt; 500000, MROUND(S92,10)&lt;= 1000000),  ROUND(30000+ ABS(MROUND(S92,10)- 500000)*0.2,0),  IF(MROUND(S92,10)&gt; 1000000,  ROUND(130000+ABS(MROUND(S92,10)- 1000000)*0.3,0),0)))), IF(OR(B92="2014-2015", B92="2015-2016",B92="2016-2017"), IF(MROUND(S92,10)&lt;= 250000, 0, IF(AND(MROUND(S92,10)&gt; 250000, MROUND(S92,10)&lt;= 500000), ROUND(ABS(MROUND(S92,10)- 250000)*0.1,0), IF(AND(MROUND(S92,10)&gt; 500000, MROUND(S92,10)&lt;= 1000000),  ROUND(25000+ ABS(MROUND(S92,10)- 500000)*0.2,0),  IF(MROUND(S92,10)&gt; 1000000,  ROUND(125000+ABS(MROUND(S92,10)- 1000000)*0.3,0), 0)))),IF(OR(B92="2017-2018",B92="2018-2019",B92="2019-2020",AND(B92="2020-2021",'Basic Information'!$AG$12="No"),AND(B92="2021-2022",'Basic Information'!$AG$15="No"),AND(B92="2022-2023",'Basic Information'!$AG$18="No"),AND(B92="2023-2024",'Basic Information'!$AG$21="Yes"),AND(B92="2024-2025",'Basic Information'!$AG$24="Yes")), IF(MROUND(S92,10)&lt;= 250000, 0, IF(AND(MROUND(S92,10)&gt; 250000, MROUND(S92,10)&lt;= 500000), ROUND(ABS(MROUND(S92,10)- 250000)*0.05,0), IF(AND(MROUND(S92,10)&gt; 500000, MROUND(S92,10)&lt;= 1000000),  ROUND(12500+ ABS(MROUND(S92,10)- 500000)*0.2,0),  IF(MROUND(S92,10)&gt; 1000000,  ROUND(112500+ABS(MROUND(S92,10)- 1000000)*0.3,0), 0)))),IF(OR(AND(B92="2020-2021",'Basic Information'!$AG$12="Yes"),AND(B92="2021-2022",'Basic Information'!$AG$15="Yes"),AND(B92="2022-2023",'Basic Information'!$AG$18="Yes")), IF(MROUND(S92,10)&lt;= 250000, 0, IF(AND(MROUND(S92,10)&gt; 250000, MROUND(S92,10)&lt;= 500000), ROUND(ABS(MROUND(S92,10)- 250000)*0.05,0), IF(AND(MROUND(S92,10)&gt; 500000, MROUND(S92,10)&lt;= 750000),  ROUND(12500+ ABS(MROUND(S92,10)- 500000)*0.1,0), IF(AND(MROUND(S92,10)&gt; 750000, MROUND(S92,10)&lt;= 1000000),  ROUND(37500+ ABS(MROUND(S92,10)- 750000)*0.15,0),IF(AND(MROUND(S92,10)&gt; 1000000, MROUND(S92,10)&lt;= 1250000),  ROUND(75000+ ABS(MROUND(S92,10)- 1000000)*0.2,0),IF(AND(MROUND(S92,10)&gt; 1250000, MROUND(S92,10)&lt;= 1500000),  ROUND(125000+ ABS(MROUND(S92,10)- 1250000)*0.25,0), IF(MROUND(S92,10)&gt; 1500000,  ROUND(187500+ABS(MROUND(S92,10)- 1500000)*0.3,0), 0))))))),IF(AND(B92="2023-2024",'Basic Information'!$AG$21="No"), IF(MROUND(S92,10)&lt;= 300000, 0, IF(AND(MROUND(S92,10)&gt; 300000, MROUND(S92,10)&lt;= 600000), ROUND(ABS(MROUND(S92,10)- 300000)*0.05,0), IF(AND(MROUND(S92,10)&gt; 600000, MROUND(S92,10)&lt;= 900000),  ROUND(15000+ ABS(MROUND(S92,10)- 600000)*0.1,0), IF(AND(MROUND(S92,10)&gt; 900000, MROUND(S92,10)&lt;= 1200000),  ROUND(45000+ ABS(MROUND(S92,10)- 900000)*0.15,0),IF(AND(MROUND(S92,10)&gt; 1200000, MROUND(S92,10)&lt;= 1500000),  ROUND(90000+ ABS(MROUND(S92,10)- 1200000)*0.2,0), IF(MROUND(S92,10)&gt; 1500000,  ROUND(150000+ABS(MROUND(S92,10)- 1500000)*0.3,0), 0)))))),IF(AND(B92="2024-2025",'Basic Information'!$AG$24="No"), IF(MROUND(S92,10)&lt;= 300000, 0, IF(AND(MROUND(S92,10)&gt; 300000, MROUND(S92,10)&lt;= 700000), ROUND(ABS(MROUND(S92,10)- 300000)*0.05,0), IF(AND(MROUND(S92,10)&gt; 700000, MROUND(S92,10)&lt;= 1000000),  ROUND(20000+ ABS(MROUND(S92,10)- 700000)*0.1,0), IF(AND(MROUND(S92,10)&gt; 1000000, MROUND(S92,10)&lt;= 1200000),  ROUND(50000+ ABS(MROUND(S92,10)- 1000000)*0.15,0),IF(AND(MROUND(S92,10)&gt; 1200000, MROUND(S92,10)&lt;= 1500000),  ROUND(80000+ ABS(MROUND(S92,10)- 1200000)*0.2,0), IF(MROUND(S92,10)&gt; 1500000,  ROUND(140000+ABS(MROUND(S92,10)- 1500000)*0.3,0), 0)))))),0)))))))))))))))))</f>
        <v>0</v>
      </c>
      <c r="AY92" s="6">
        <f>IF(OR(B92="2013-2014",B92="2014-2015",B92="2015-2016"),IF(AND(MROUND(S92,10)&lt;=500000,MROUND(S92,10)&lt;&gt;0),IF(AX92&lt;=2000, AX92,2000),0), IF(B92="2016-2017",IF(AND(MROUND(S92,10)&lt;=500000, MROUND(S92,10)&lt;&gt;0),IF(AX92&lt;=5000, AX92,5000),0), IF(OR(B92="2017-2018",B92="2018-2019"),IF(AND(MROUND(S92,10)&lt;=350000,MROUND(S92,10)&lt;&gt;0),IF(AX92&lt;=2500, AX92,2500),0), IF(OR(B92="2019-2020",B92="2020-2021",B92="2021-2022",B92="2022-2023",AND(B92="2023-2024",'Basic Information'!$AG$21="Yes"),AND(B92="2024-2025",'Basic Information'!$AG$24="Yes")),IF(AND(MROUND(S92,10)&lt;=500000,MROUND(S92,10)&lt;&gt;0),IF(AX92&lt;=12500, AX92,12500),0), IF(OR(AND(B92="2023-2024",'Basic Information'!$AG$21="No")),IF(AND(MROUND(S92,10)&lt;=700000,MROUND(S92,10)&lt;&gt;0),IF(AX92&lt;=25000, AX92,25000),IF(AND(MROUND(S92,10)&lt;&gt;0,(MROUND(S92,10)-700000)&lt;= AX92), AX92-(MROUND(S92,10)-700000),0)), IF(OR(AND(B92="2024-2025",'Basic Information'!$AG$24="No")),IF(AND(MROUND(S92,10)&lt;=700000,MROUND(S92,10)&lt;&gt;0),IF(AX92&lt;=20000, AX92,20000),IF(AND(MROUND(S92,10)&lt;&gt;0,(MROUND(S92,10)-700000)&lt;= AX92), AX92-(MROUND(S92,10)-700000),0)),0))))))</f>
        <v>0</v>
      </c>
      <c r="AZ92" s="6">
        <f t="shared" ref="AZ92:AZ101" si="0">IF((AX92&lt;AY92),0,ROUND(ABS(AX92- AY92),0))</f>
        <v>0</v>
      </c>
      <c r="BA92" s="6">
        <f>IF(OR(B92="2005-2006",B92="2006-2007"),ROUND(AZ92*0.02,0),IF(OR(B92="2018-2019",B92="2019-2020",B92="2020-2021",B92="2021-2022",B92="2022-2023",B92="2023-2024",B92="2024-2025"),ROUND(AZ92*0.04,0),ROUND(AZ92*0.03,0)))</f>
        <v>0</v>
      </c>
    </row>
    <row r="93" spans="2:53" x14ac:dyDescent="0.3">
      <c r="B93" s="452"/>
      <c r="C93" s="453"/>
      <c r="D93" s="453"/>
      <c r="E93" s="453"/>
      <c r="F93" s="454"/>
      <c r="G93" s="455"/>
      <c r="H93" s="456"/>
      <c r="I93" s="456"/>
      <c r="J93" s="456"/>
      <c r="K93" s="456"/>
      <c r="L93" s="457"/>
      <c r="M93" s="455"/>
      <c r="N93" s="456"/>
      <c r="O93" s="456"/>
      <c r="P93" s="456"/>
      <c r="Q93" s="456"/>
      <c r="R93" s="457"/>
      <c r="S93" s="458">
        <f t="shared" ref="S93:S101" si="1">SUM(G93,M93)</f>
        <v>0</v>
      </c>
      <c r="T93" s="459"/>
      <c r="U93" s="459"/>
      <c r="V93" s="459"/>
      <c r="W93" s="459"/>
      <c r="X93" s="460"/>
      <c r="Y93" s="458">
        <f t="shared" ref="Y93:Y101" si="2">MROUND(SUM(AV93,AW93),10)</f>
        <v>0</v>
      </c>
      <c r="Z93" s="459"/>
      <c r="AA93" s="459"/>
      <c r="AB93" s="459"/>
      <c r="AC93" s="459"/>
      <c r="AD93" s="460"/>
      <c r="AE93" s="458">
        <f t="shared" ref="AE93:AE101" si="3">SUM(AZ93,BA93)</f>
        <v>0</v>
      </c>
      <c r="AF93" s="459"/>
      <c r="AG93" s="459"/>
      <c r="AH93" s="459"/>
      <c r="AI93" s="459"/>
      <c r="AJ93" s="461"/>
      <c r="AK93" s="462">
        <f t="shared" ref="AK93:AK101" si="4">ABS(AE93-Y93)</f>
        <v>0</v>
      </c>
      <c r="AL93" s="463"/>
      <c r="AM93" s="463"/>
      <c r="AN93" s="463"/>
      <c r="AO93" s="463"/>
      <c r="AP93" s="464"/>
      <c r="AQ93" s="36" t="str">
        <f>IF(AND(OR(NOT(ISBLANK(G93)),NOT(ISBLANK(M93))),OR(ISBLANK(B93),B93="Select")),"Please select a Financial Year","")</f>
        <v/>
      </c>
      <c r="AT93" s="6">
        <f>IF( AND(OR(B93="2005-2006",B93="2006-2007"),$U$22&lt;&gt;"Female"),IF( MROUND(G93,10)&lt;= 100000, 0, IF(AND(MROUND(G93,10)&gt; 100000,MROUND(G93,10)&lt;= 150000),  ROUND(ABS(MROUND(G93,10)- 100000)*0.1,0), IF(AND(MROUND(G93,10)&gt; 150000, MROUND(G93,10)&lt;= 250000), ROUND(5000+ ABS(MROUND(G93,10)- 150000)*0.2,0),IF(MROUND(G93,10)&gt; 250000,  ROUND(25000+ABS(MROUND(G93,10)- 250000)*0.3,0),  0)))),IF(AND(OR(B93="2005-2006",B93="2006-2007"),$U$22="Female"),IF(MROUND(G93,10)&lt;= 135000, 0, IF(AND(MROUND(G93,10)&gt; 135000, MROUND(G93,10)&lt;= 150000), ROUND(ABS(MROUND(G93,10)- 135000)*0.1,0), IF(AND(MROUND(G93,10)&gt; 150000, MROUND(G93,10)&lt;= 250000), ROUND(1500+ ABS(MROUND(G93,10)- 150000)*0.2,0),  IF(MROUND(G93,10)&gt; 250000, ROUND(21500+ABS(MROUND(G93,10)- 250000)*0.3,0),0)))),IF(AND(B93="2007-2008",$U$22&lt;&gt;"Female"), IF(MROUND(G93,10)&lt;= 110000,  0,  IF(AND(MROUND(G93,10)&gt; 110000, MROUND(G93,10)&lt;= 150000), ROUND(ABS(MROUND(G93,10)- 110000)*0.1,0),  IF(AND(MROUND(G93,10)&gt; 150000, MROUND(G93,10)&lt;= 250000),  ROUND(4000+ ABS(MROUND(G93,10)- 150000)*0.2,0),   IF(MROUND(G93,10)&gt; 250000,   ROUND(24000+ABS(MROUND(G93,10)- 250000)*0.3,0),0)))),IF(AND(B93="2007-2008",$U$22="Female"), IF(MROUND(G93,10)&lt;= 145000, 0, IF(AND(MROUND(G93,10)&gt; 145000, MROUND(G93,10)&lt;= 150000),     ROUND(ABS(MROUND(G93,10)- 145000)*0.1,0),  IF(AND(MROUND(G93,10)&gt; 150000, MROUND(G93,10)&lt;= 250000),  ROUND(500+ ABS(MROUND(G93,10)- 150000)*0.2,0),  IF(MROUND(G93,10)&gt; 250000, ROUND(20500+ABS(MROUND(G93,10)- 250000)*0.3,0),0)))), IF(AND(B93="2008-2009",$U$22&lt;&gt;"Female"), IF(MROUND(G93,10)&lt;= 150000, 0, IF(AND(MROUND(G93,10)&gt; 150000, MROUND(G93,10)&lt;= 300000), ROUND(ABS(MROUND(G93,10)- 150000)*0.1,0), IF(AND(MROUND(G93,10)&gt; 300000, MROUND(G93,10)&lt;= 500000),  ROUND(15000+ ABS(MROUND(G93,10)- 300000)*0.2,0),  IF(MROUND(G93,10)&gt; 500000,  ROUND(55000+ABS(MROUND(G93,10)- 500000)*0.3,0),0)))), IF(AND(B93="2008-2009",$U$22="Female"), IF(MROUND(G93,10)&lt;= 180000, 0, IF(AND(MROUND(G93,10)&gt; 180000, MROUND(G93,10)&lt;= 300000), ROUND(ABS(MROUND(G93,10)- 180000)*0.1,0), IF(AND(MROUND(G93,10)&gt; 300000, MROUND(G93,10)&lt;= 500000), ROUND(12000+ ABS(MROUND(G93,10)- 300000)*0.2,0),  IF(MROUND(G93,10)&gt; 500000,  ROUND(52000+ABS(MROUND(G93,10)- 500000)*0.3,0),0)))), IF(AND(B93="2009-2010", $U$22&lt;&gt;"Female"), IF(MROUND(G93,10)&lt;= 160000, 0, IF(AND(MROUND(G93,10)&gt; 160000, MROUND(G93,10)&lt;= 300000),ROUND(ABS(MROUND(G93,10)- 160000)*0.1,0), IF(AND(MROUND(G93,10)&gt; 300000, MROUND(G93,10)&lt;= 500000),ROUND(14000+ ABS(MROUND(G93,10)- 300000)*0.2,0),  IF(MROUND(G93,10)&gt; 500000, ROUND(54000+ABS(MROUND(G93,10)- 500000)*0.3,0),0)))),IF(AND(B93="2009-2010",$U$22="Female"), IF(MROUND(G93,10)&lt;= 190000, 0, IF(AND(MROUND(G93,10)&gt; 190000, MROUND(G93,10)&lt;= 300000),ROUND(ABS(MROUND(G93,10)- 190000)*0.1,0), IF(AND(MROUND(G93,10)&gt; 300000, MROUND(G93,10)&lt;= 500000), ROUND(11000+ ABS(MROUND(G93,10)- 300000)*0.2,0),IF(MROUND(G93,10)&gt; 500000,  ROUND(51000+ABS(MROUND(G93,10)- 500000)*0.3,0),0)))), IF(AND(B93="2010-2011",$U$22&lt;&gt;"Female"), IF(MROUND(G93,10)&lt;= 160000, 0, IF(AND(MROUND(G93,10)&gt; 160000, MROUND(G93,10)&lt;= 500000), ROUND(ABS(MROUND(G93,10)- 160000)*0.1,0), IF(AND(MROUND(G93,10)&gt; 500000, MROUND(G93,10)&lt;= 800000), ROUND(34000+ ABS(MROUND(G93,10)- 500000)*0.2,0),  IF(MROUND(G93,10)&gt; 800000,  ROUND(94000+ABS(MROUND(G93,10)- 800000)*0.3,0),0)))), IF(AND(OR(B93="2010-2011",B93="2011-2012"),$U$22="Female"), IF(MROUND(G93,10)&lt;= 190000, 0, IF(AND(MROUND(G93,10)&gt; 190000, MROUND(G93,10)&lt;= 500000), ROUND(ABS(MROUND(G93,10)- 190000)*0.1,0), IF(AND(MROUND(G93,10)&gt; 500000, MROUND(G93,10)&lt;= 800000),  ROUND(31000+ ABS(MROUND(G93,10)- 500000)*0.2,0),  IF(MROUND(G93,10)&gt; 800000,  ROUND(91000+ABS(MROUND(G93,10)- 800000)*0.3,0),0)))), IF(AND(B93="2011-2012", $U$22&lt;&gt;"Female"), IF(MROUND(G93,10)&lt;= 180000, 0, IF(AND(MROUND(G93,10)&gt; 180000, MROUND(G93,10)&lt;= 500000), ROUND(ABS(MROUND(G93,10)- 180000)*0.1,0), IF(AND(MROUND(G93,10)&gt; 500000, MROUND(G93,10)&lt;= 800000),  ROUND(32000+ ABS(MROUND(G93,10)- 500000)*0.2,0),  IF(MROUND(G93,10)&gt; 800000,  ROUND(92000+ABS(MROUND(G93,10)- 800000)*0.3,0),0)))), IF(OR(B93="2012-2013",B93="2013-2014"), IF(MROUND(G93,10)&lt;= 200000, 0, IF(AND(MROUND(G93,10)&gt; 200000, MROUND(G93,10)&lt;= 500000), ROUND(ABS(MROUND(G93,10)- 200000)*0.1,0), IF(AND(MROUND(G93,10)&gt; 500000, MROUND(G93,10)&lt;= 1000000),  ROUND(30000+ ABS(MROUND(G93,10)- 500000)*0.2,0),  IF(MROUND(G93,10)&gt; 1000000,  ROUND(130000+ABS(MROUND(G93,10)- 1000000)*0.3,0),0)))), IF(OR(B93="2014-2015", B93="2015-2016",B93="2016-2017"), IF(MROUND(G93,10)&lt;= 250000, 0, IF(AND(MROUND(G93,10)&gt; 250000, MROUND(G93,10)&lt;= 500000), ROUND(ABS(MROUND(G93,10)- 250000)*0.1,0), IF(AND(MROUND(G93,10)&gt; 500000, MROUND(G93,10)&lt;= 1000000),  ROUND(25000+ ABS(MROUND(G93,10)- 500000)*0.2,0),  IF(MROUND(G93,10)&gt; 1000000,  ROUND(125000+ABS(MROUND(G93,10)- 1000000)*0.3,0), 0)))), IF(OR(B93="2017-2018",B93="2018-2019",B93="2019-2020",AND(B93="2020-2021",'Basic Information'!$AG$12="No"),AND(B93="2021-2022",'Basic Information'!$AG$15="No"),AND(B93="2022-2023",'Basic Information'!$AG$18="No"),AND(B93="2023-2024",'Basic Information'!$AG$21="Yes"),AND(B93="2024-2025",'Basic Information'!$AG$24="Yes")), IF(MROUND(G93,10)&lt;= 250000, 0, IF(AND(MROUND(G93,10)&gt; 250000, MROUND(G93,10)&lt;= 500000), ROUND(ABS(MROUND(G93,10)- 250000)*0.05,0), IF(AND(MROUND(G93,10)&gt; 500000, MROUND(G93,10)&lt;= 1000000),  ROUND(12500+ ABS(MROUND(G93,10)- 500000)*0.2,0),  IF(MROUND(G93,10)&gt; 1000000,  ROUND(112500+ABS(MROUND(G93,10)- 1000000)*0.3,0), 0)))),IF(OR(AND(B93="2020-2021",'Basic Information'!$AG$12="Yes"),AND(B93="2021-2022",'Basic Information'!$AG$15="Yes"),AND(B93="2022-2023",'Basic Information'!$AG$18="Yes")), IF(MROUND(G93,10)&lt;= 250000, 0, IF(AND(MROUND(G93,10)&gt; 250000, MROUND(G93,10)&lt;= 500000), ROUND(ABS(MROUND(G93,10)- 250000)*0.05,0), IF(AND(MROUND(G93,10)&gt; 500000, MROUND(G93,10)&lt;= 750000),  ROUND(12500+ ABS(MROUND(G93,10)- 500000)*0.1,0), IF(AND(MROUND(G93,10)&gt; 750000, MROUND(G93,10)&lt;= 1000000),  ROUND(37500+ ABS(MROUND(G93,10)- 750000)*0.15,0),IF(AND(MROUND(G93,10)&gt; 1000000, MROUND(G93,10)&lt;= 1250000),  ROUND(75000+ ABS(MROUND(G93,10)- 1000000)*0.2,0),IF(AND(MROUND(G93,10)&gt; 1250000, MROUND(G93,10)&lt;= 1500000),  ROUND(125000+ ABS(MROUND(G93,10)- 1250000)*0.25,0), IF(MROUND(G93,10)&gt; 1500000,  ROUND(187500+ABS(MROUND(G93,10)- 1500000)*0.3,0), 0))))))),IF(AND(B93="2023-2024",'Basic Information'!$AG$21="No"), IF(MROUND(G93,10)&lt;= 300000, 0, IF(AND(MROUND(G93,10)&gt; 300000, MROUND(G93,10)&lt;= 600000), ROUND(ABS(MROUND(G93,10)- 300000)*0.05,0), IF(AND(MROUND(G93,10)&gt; 600000, MROUND(G93,10)&lt;= 900000),  ROUND(15000+ ABS(MROUND(G93,10)- 600000)*0.1,0), IF(AND(MROUND(G93,10)&gt; 900000, MROUND(G93,10)&lt;= 1200000),  ROUND(45000+ ABS(MROUND(G93,10)- 900000)*0.15,0),IF(AND(MROUND(G93,10)&gt; 1200000, MROUND(G93,10)&lt;= 1500000),  ROUND(90000+ ABS(MROUND(G93,10)- 1200000)*0.2,0), IF(MROUND(G93,10)&gt; 1500000,  ROUND(150000+ABS(MROUND(G93,10)- 1500000)*0.3,0), 0)))))),IF(AND(B93="2024-2025",'Basic Information'!$AG$24="No"), IF(MROUND(G93,10)&lt;= 300000, 0, IF(AND(MROUND(G93,10)&gt; 300000, MROUND(G93,10)&lt;= 700000), ROUND(ABS(MROUND(G93,10)- 300000)*0.05,0), IF(AND(MROUND(G93,10)&gt; 700000, MROUND(G93,10)&lt;= 1000000),  ROUND(20000+ ABS(MROUND(G93,10)- 700000)*0.1,0), IF(AND(MROUND(G93,10)&gt; 1000000, MROUND(G93,10)&lt;= 1200000),  ROUND(50000+ ABS(MROUND(G93,10)- 1000000)*0.15,0),IF(AND(MROUND(G93,10)&gt; 1200000, MROUND(G93,10)&lt;= 1500000),  ROUND(80000+ ABS(MROUND(G93,10)- 1200000)*0.2,0), IF(MROUND(G93,10)&gt; 1500000,  ROUND(140000+ABS(MROUND(G93,10)- 1500000)*0.3,0), 0)))))),0)))))))))))))))))</f>
        <v>0</v>
      </c>
      <c r="AU93" s="6">
        <f>IF(OR(B93="2013-2014",B93="2014-2015",B93="2015-2016"),IF(AND(MROUND(G93,10)&lt;=500000,MROUND(G93,10)&lt;&gt;0),IF(AT93&lt;=2000, AT93,2000),0), IF(B93="2016-2017",IF(AND(MROUND(G93,10)&lt;=500000,MROUND(G93,10)&lt;&gt;0),IF(AT93&lt;=5000, AT93,5000),0), IF(OR(B93="2017-2018",B93="2018-2019"),IF(AND(MROUND(G93,10)&lt;=350000,MROUND(G93,10)&lt;&gt;0),IF(AT93&lt;=2500, AT93,2500),0), IF(OR(B93="2019-2020",B93="2020-2021",B93="2021-2022",B93="2022-2023",AND(B93="2023-2024",'Basic Information'!$AG$21="Yes"),AND(B93="2024-2025",'Basic Information'!$AG$24="Yes")),IF(AND(MROUND(G93,10)&lt;=500000,MROUND(G93,10)&lt;&gt;0),IF(AT93&lt;=12500, AT93,12500),0), IF(OR(AND(B93="2023-2024",'Basic Information'!$AG$21="No")),IF(AND(MROUND(G93,10)&lt;=700000,MROUND(G93,10)&lt;&gt;0),IF(AT93&lt;=25000, AT93,25000),IF(AND(MROUND(G93,10)&lt;&gt;0,(MROUND(G93,10)-700000)&lt;=AT93),AT93-(MROUND(G93,10)-700000),0)), IF(OR(AND(B93="2024-2025",'Basic Information'!$AG$24="No")),IF(AND(MROUND(G93,10)&lt;=700000,MROUND(G93,10)&lt;&gt;0),IF(AT93&lt;=20000, AT93,20000),IF(AND(MROUND(G93,10)&lt;&gt;0,(MROUND(G93,10)-700000)&lt;=AT93),AT93-(MROUND(G93,10)-700000),0)),0))))))</f>
        <v>0</v>
      </c>
      <c r="AV93" s="6">
        <f t="shared" ref="AV93:AV101" si="5">IF((AT93&lt;AU93),0,ROUND(ABS(AT93- AU93),0))</f>
        <v>0</v>
      </c>
      <c r="AW93" s="6">
        <f t="shared" ref="AW93:AW101" si="6">IF(OR(B93="2005-2006",B93="2006-2007"),ROUND(AV93*0.02,0),IF(OR(B93="2018-2019",B93="2019-2020",B93="2020-2021",B93="2021-2022",B93="2022-2023",B93="2023-2024",B93="2024-2025"),ROUND(AV93*0.04,0),ROUND(AV93*0.03,0)))</f>
        <v>0</v>
      </c>
      <c r="AX93" s="6">
        <f>IF( AND(OR(B93="2005-2006",B93="2006-2007"),$U$22&lt;&gt;"Female"),IF( MROUND(S93,10)&lt;= 100000, 0, IF(AND(MROUND(S93,10)&gt; 100000,MROUND(S93,10)&lt;= 150000),  ROUND(ABS(MROUND(S93,10)- 100000)*0.1,0), IF(AND(MROUND(S93,10)&gt; 150000, MROUND(S93,10)&lt;= 250000), ROUND(5000+ ABS(MROUND(S93,10)- 150000)*0.2,0),IF(MROUND(S93,10)&gt; 250000,  ROUND(25000+ABS(MROUND(S93,10)- 250000)*0.3,0),  0)))),IF(AND(OR(B93="2005-2006",B93="2006-2007"),$U$22="Female"),IF(MROUND(S93,10)&lt;= 135000, 0, IF(AND(MROUND(S93,10)&gt; 135000, MROUND(S93,10)&lt;= 150000), ROUND(ABS(MROUND(S93,10)- 135000)*0.1,0), IF(AND(MROUND(S93,10)&gt; 150000, MROUND(S93,10)&lt;= 250000), ROUND(1500+ ABS(MROUND(S93,10)- 150000)*0.2,0),  IF(MROUND(S93,10)&gt; 250000, ROUND(21500+ABS(MROUND(S93,10)- 250000)*0.3,0),0)))),IF(AND(B93="2007-2008",$U$22&lt;&gt;"Female"), IF(MROUND(S93,10)&lt;= 110000,  0,  IF(AND(MROUND(S93,10)&gt; 110000, MROUND(S93,10)&lt;= 150000),     ROUND(ABS(MROUND(S93,10)- 110000)*0.1,0),  IF(AND(MROUND(S93,10)&gt; 150000, MROUND(S93,10)&lt;= 250000),  ROUND(4000+ ABS(MROUND(S93,10)- 150000)*0.2,0),   IF(MROUND(S93,10)&gt; 250000,   ROUND(24000+ABS(MROUND(S93,10)- 250000)*0.3,0),0)))),IF(AND(B93="2007-2008",$U$22="Female"), IF(MROUND(S93,10)&lt;= 145000, 0, IF(AND(MROUND(S93,10)&gt; 145000, MROUND(S93,10)&lt;= 150000),     ROUND(ABS(MROUND(S93,10)- 145000)*0.1,0),  IF(AND(MROUND(S93,10)&gt; 150000, MROUND(S93,10)&lt;= 250000),  ROUND(500+ ABS(MROUND(S93,10)- 150000)*0.2,0),  IF(MROUND(S93,10)&gt; 250000, ROUND(20500+ABS(MROUND(S93,10)- 250000)*0.3,0),0)))), IF(AND(B93="2008-2009",$U$22&lt;&gt;"Female"), IF(MROUND(S93,10)&lt;= 150000, 0, IF(AND(MROUND(S93,10)&gt; 150000, MROUND(S93,10)&lt;= 300000), ROUND(ABS(MROUND(S93,10)- 150000)*0.1,0), IF(AND(MROUND(S93,10)&gt; 300000, MROUND(S93,10)&lt;= 500000),  ROUND(15000+ ABS(MROUND(S93,10)- 300000)*0.2,0),  IF(MROUND(S93,10)&gt; 500000,  ROUND(55000+ABS(MROUND(S93,10)- 500000)*0.3,0),0)))), IF(AND(B93="2008-2009",$U$22="Female"), IF(MROUND(S93,10)&lt;= 180000, 0, IF(AND(MROUND(S93,10)&gt; 180000, MROUND(S93,10)&lt;= 300000), ROUND(ABS(MROUND(S93,10)- 180000)*0.1,0), IF(AND(MROUND(S93,10)&gt; 300000, MROUND(S93,10)&lt;= 500000), ROUND(12000+ ABS(MROUND(S93,10)- 300000)*0.2,0),  IF(MROUND(S93,10)&gt; 500000,  ROUND(52000+ABS(MROUND(S93,10)- 500000)*0.3,0),0)))), IF(AND(B93="2009-2010", $U$22&lt;&gt;"Female"), IF(MROUND(S93,10)&lt;= 160000, 0, IF(AND(MROUND(S93,10)&gt; 160000, MROUND(S93,10)&lt;= 300000),ROUND(ABS(MROUND(S93,10)- 160000)*0.1,0), IF(AND(MROUND(S93,10)&gt; 300000, MROUND(S93,10)&lt;= 500000),ROUND(14000+ ABS(MROUND(S93,10)- 300000)*0.2,0),  IF(MROUND(S93,10)&gt; 500000, ROUND(54000+ABS(MROUND(S93,10)- 500000)*0.3,0),0)))),IF(AND(B93="2009-2010",$U$22="Female"), IF(MROUND(S93,10)&lt;= 190000, 0, IF(AND(MROUND(S93,10)&gt; 190000, MROUND(S93,10)&lt;= 300000),ROUND(ABS(MROUND(S93,10)- 190000)*0.1,0), IF(AND(MROUND(S93,10)&gt; 300000, MROUND(S93,10)&lt;= 500000), ROUND(11000+ ABS(MROUND(S93,10)- 300000)*0.2,0),IF(MROUND(S93,10)&gt; 500000,  ROUND(51000+ABS(MROUND(S93,10)- 500000)*0.3,0),0)))), IF(AND(B93="2010-2011",$U$22&lt;&gt;"Female"), IF(MROUND(S93,10)&lt;= 160000, 0, IF(AND(MROUND(S93,10)&gt; 160000, MROUND(S93,10)&lt;= 500000), ROUND(ABS(MROUND(S93,10)- 160000)*0.1,0), IF(AND(MROUND(S93,10)&gt; 500000, MROUND(S93,10)&lt;= 800000), ROUND(34000+ ABS(MROUND(S93,10)- 500000)*0.2,0),  IF(MROUND(S93,10)&gt; 800000,  ROUND(94000+ABS(MROUND(S93,10)- 800000)*0.3,0),0)))), IF(AND(OR(B93="2010-2011",B93="2011-2012"),$U$22="Female"), IF(MROUND(S93,10)&lt;= 190000, 0, IF(AND(MROUND(S93,10)&gt; 190000, MROUND(S93,10)&lt;= 500000), ROUND(ABS(MROUND(S93,10)- 190000)*0.1,0), IF(AND(MROUND(S93,10)&gt; 500000, MROUND(S93,10)&lt;= 800000),  ROUND(31000+ ABS(MROUND(S93,10)- 500000)*0.2,0),  IF(MROUND(S93,10)&gt; 800000,  ROUND(91000+ABS(MROUND(S93,10)- 800000)*0.3,0),0)))), IF(AND(B93="2011-2012", $U$22&lt;&gt;"Female"), IF(MROUND(S93,10)&lt;= 180000, 0, IF(AND(MROUND(S93,10)&gt; 180000, MROUND(S93,10)&lt;= 500000), ROUND(ABS(MROUND(S93,10)- 180000)*0.1,0), IF(AND(MROUND(S93,10)&gt; 500000, MROUND(S93,10)&lt;= 800000),  ROUND(32000+ ABS(MROUND(S93,10)- 500000)*0.2,0),  IF(MROUND(S93,10)&gt; 800000,  ROUND(92000+ABS(MROUND(S93,10)- 800000)*0.3,0),0)))), IF(OR(B93="2012-2013",B93="2013-2014"), IF(MROUND(S93,10)&lt;= 200000, 0, IF(AND(MROUND(S93,10)&gt; 200000, MROUND(S93,10)&lt;= 500000), ROUND(ABS(MROUND(S93,10)- 200000)*0.1,0), IF(AND(MROUND(S93,10)&gt; 500000, MROUND(S93,10)&lt;= 1000000),  ROUND(30000+ ABS(MROUND(S93,10)- 500000)*0.2,0),  IF(MROUND(S93,10)&gt; 1000000,  ROUND(130000+ABS(MROUND(S93,10)- 1000000)*0.3,0),0)))), IF(OR(B93="2014-2015", B93="2015-2016",B93="2016-2017"), IF(MROUND(S93,10)&lt;= 250000, 0, IF(AND(MROUND(S93,10)&gt; 250000, MROUND(S93,10)&lt;= 500000), ROUND(ABS(MROUND(S93,10)- 250000)*0.1,0), IF(AND(MROUND(S93,10)&gt; 500000, MROUND(S93,10)&lt;= 1000000),  ROUND(25000+ ABS(MROUND(S93,10)- 500000)*0.2,0),  IF(MROUND(S93,10)&gt; 1000000,  ROUND(125000+ABS(MROUND(S93,10)- 1000000)*0.3,0), 0)))),IF(OR(B93="2017-2018",B93="2018-2019",B93="2019-2020",AND(B93="2020-2021",'Basic Information'!$AG$12="No"),AND(B93="2021-2022",'Basic Information'!$AG$15="No"),AND(B93="2022-2023",'Basic Information'!$AG$18="No"),AND(B93="2023-2024",'Basic Information'!$AG$21="Yes"),AND(B93="2024-2025",'Basic Information'!$AG$24="Yes")), IF(MROUND(S93,10)&lt;= 250000, 0, IF(AND(MROUND(S93,10)&gt; 250000, MROUND(S93,10)&lt;= 500000), ROUND(ABS(MROUND(S93,10)- 250000)*0.05,0), IF(AND(MROUND(S93,10)&gt; 500000, MROUND(S93,10)&lt;= 1000000),  ROUND(12500+ ABS(MROUND(S93,10)- 500000)*0.2,0),  IF(MROUND(S93,10)&gt; 1000000,  ROUND(112500+ABS(MROUND(S93,10)- 1000000)*0.3,0), 0)))),IF(OR(AND(B93="2020-2021",'Basic Information'!$AG$12="Yes"),AND(B93="2021-2022",'Basic Information'!$AG$15="Yes"),AND(B93="2022-2023",'Basic Information'!$AG$18="Yes")), IF(MROUND(S93,10)&lt;= 250000, 0, IF(AND(MROUND(S93,10)&gt; 250000, MROUND(S93,10)&lt;= 500000), ROUND(ABS(MROUND(S93,10)- 250000)*0.05,0), IF(AND(MROUND(S93,10)&gt; 500000, MROUND(S93,10)&lt;= 750000),  ROUND(12500+ ABS(MROUND(S93,10)- 500000)*0.1,0), IF(AND(MROUND(S93,10)&gt; 750000, MROUND(S93,10)&lt;= 1000000),  ROUND(37500+ ABS(MROUND(S93,10)- 750000)*0.15,0),IF(AND(MROUND(S93,10)&gt; 1000000, MROUND(S93,10)&lt;= 1250000),  ROUND(75000+ ABS(MROUND(S93,10)- 1000000)*0.2,0),IF(AND(MROUND(S93,10)&gt; 1250000, MROUND(S93,10)&lt;= 1500000),  ROUND(125000+ ABS(MROUND(S93,10)- 1250000)*0.25,0), IF(MROUND(S93,10)&gt; 1500000,  ROUND(187500+ABS(MROUND(S93,10)- 1500000)*0.3,0), 0))))))),IF(AND(B93="2023-2024",'Basic Information'!$AG$21="No"), IF(MROUND(S93,10)&lt;= 300000, 0, IF(AND(MROUND(S93,10)&gt; 300000, MROUND(S93,10)&lt;= 600000), ROUND(ABS(MROUND(S93,10)- 300000)*0.05,0), IF(AND(MROUND(S93,10)&gt; 600000, MROUND(S93,10)&lt;= 900000),  ROUND(15000+ ABS(MROUND(S93,10)- 600000)*0.1,0), IF(AND(MROUND(S93,10)&gt; 900000, MROUND(S93,10)&lt;= 1200000),  ROUND(45000+ ABS(MROUND(S93,10)- 900000)*0.15,0),IF(AND(MROUND(S93,10)&gt; 1200000, MROUND(S93,10)&lt;= 1500000),  ROUND(90000+ ABS(MROUND(S93,10)- 1200000)*0.2,0), IF(MROUND(S93,10)&gt; 1500000,  ROUND(150000+ABS(MROUND(S93,10)- 1500000)*0.3,0), 0)))))),IF(AND(B93="2024-2025",'Basic Information'!$AG$24="No"), IF(MROUND(S93,10)&lt;= 300000, 0, IF(AND(MROUND(S93,10)&gt; 300000, MROUND(S93,10)&lt;= 700000), ROUND(ABS(MROUND(S93,10)- 300000)*0.05,0), IF(AND(MROUND(S93,10)&gt; 700000, MROUND(S93,10)&lt;= 1000000),  ROUND(20000+ ABS(MROUND(S93,10)- 700000)*0.1,0), IF(AND(MROUND(S93,10)&gt; 1000000, MROUND(S93,10)&lt;= 1200000),  ROUND(50000+ ABS(MROUND(S93,10)- 1000000)*0.15,0),IF(AND(MROUND(S93,10)&gt; 1200000, MROUND(S93,10)&lt;= 1500000),  ROUND(80000+ ABS(MROUND(S93,10)- 1200000)*0.2,0), IF(MROUND(S93,10)&gt; 1500000,  ROUND(140000+ABS(MROUND(S93,10)- 1500000)*0.3,0), 0)))))),0)))))))))))))))))</f>
        <v>0</v>
      </c>
      <c r="AY93" s="6">
        <f>IF(OR(B93="2013-2014",B93="2014-2015",B93="2015-2016"),IF(AND(MROUND(S93,10)&lt;=500000,MROUND(S93,10)&lt;&gt;0),IF(AX93&lt;=2000, AX93,2000),0), IF(B93="2016-2017",IF(AND(MROUND(S93,10)&lt;=500000, MROUND(S93,10)&lt;&gt;0),IF(AX93&lt;=5000, AX93,5000),0), IF(OR(B93="2017-2018",B93="2018-2019"),IF(AND(MROUND(S93,10)&lt;=350000,MROUND(S93,10)&lt;&gt;0),IF(AX93&lt;=2500, AX93,2500),0), IF(OR(B93="2019-2020",B93="2020-2021",B93="2021-2022",B93="2022-2023",AND(B93="2023-2024",'Basic Information'!$AG$21="Yes"),AND(B93="2024-2025",'Basic Information'!$AG$24="Yes")),IF(AND(MROUND(S93,10)&lt;=500000,MROUND(S93,10)&lt;&gt;0),IF(AX93&lt;=12500, AX93,12500),0), IF(OR(AND(B93="2023-2024",'Basic Information'!$AG$21="No")),IF(AND(MROUND(S93,10)&lt;=700000,MROUND(S93,10)&lt;&gt;0),IF(AX93&lt;=25000, AX93,25000),IF(AND(MROUND(S93,10)&lt;&gt;0,(MROUND(S93,10)-700000)&lt;= AX93), AX93-(MROUND(S93,10)-700000),0)), IF(OR(AND(B93="2024-2025",'Basic Information'!$AG$24="No")),IF(AND(MROUND(S93,10)&lt;=700000,MROUND(S93,10)&lt;&gt;0),IF(AX93&lt;=20000, AX93,20000),IF(AND(MROUND(S93,10)&lt;&gt;0,(MROUND(S93,10)-700000)&lt;= AX93), AX93-(MROUND(S93,10)-700000),0)),0))))))</f>
        <v>0</v>
      </c>
      <c r="AZ93" s="6">
        <f t="shared" si="0"/>
        <v>0</v>
      </c>
      <c r="BA93" s="6">
        <f t="shared" ref="BA93:BA101" si="7">IF(OR(B93="2005-2006",B93="2006-2007"),ROUND(AZ93*0.02,0),IF(OR(B93="2018-2019",B93="2019-2020",B93="2020-2021",B93="2021-2022",B93="2022-2023",B93="2023-2024",B93="2024-2025"),ROUND(AZ93*0.04,0),ROUND(AZ93*0.03,0)))</f>
        <v>0</v>
      </c>
    </row>
    <row r="94" spans="2:53" x14ac:dyDescent="0.3">
      <c r="B94" s="452"/>
      <c r="C94" s="453"/>
      <c r="D94" s="453"/>
      <c r="E94" s="453"/>
      <c r="F94" s="454"/>
      <c r="G94" s="455"/>
      <c r="H94" s="456"/>
      <c r="I94" s="456"/>
      <c r="J94" s="456"/>
      <c r="K94" s="456"/>
      <c r="L94" s="457"/>
      <c r="M94" s="455"/>
      <c r="N94" s="456"/>
      <c r="O94" s="456"/>
      <c r="P94" s="456"/>
      <c r="Q94" s="456"/>
      <c r="R94" s="457"/>
      <c r="S94" s="458">
        <f t="shared" si="1"/>
        <v>0</v>
      </c>
      <c r="T94" s="459"/>
      <c r="U94" s="459"/>
      <c r="V94" s="459"/>
      <c r="W94" s="459"/>
      <c r="X94" s="460"/>
      <c r="Y94" s="458">
        <f t="shared" si="2"/>
        <v>0</v>
      </c>
      <c r="Z94" s="459"/>
      <c r="AA94" s="459"/>
      <c r="AB94" s="459"/>
      <c r="AC94" s="459"/>
      <c r="AD94" s="460"/>
      <c r="AE94" s="458">
        <f t="shared" si="3"/>
        <v>0</v>
      </c>
      <c r="AF94" s="459"/>
      <c r="AG94" s="459"/>
      <c r="AH94" s="459"/>
      <c r="AI94" s="459"/>
      <c r="AJ94" s="461"/>
      <c r="AK94" s="462">
        <f t="shared" si="4"/>
        <v>0</v>
      </c>
      <c r="AL94" s="463"/>
      <c r="AM94" s="463"/>
      <c r="AN94" s="463"/>
      <c r="AO94" s="463"/>
      <c r="AP94" s="464"/>
      <c r="AQ94" s="36" t="str">
        <f>IF(AND(OR(NOT(ISBLANK(G94)),NOT(ISBLANK(M94))),OR(ISBLANK(B94),B94="Select")),"Please select a Financial Year","")</f>
        <v/>
      </c>
      <c r="AT94" s="6">
        <f>IF( AND(OR(B94="2005-2006",B94="2006-2007"),$U$22&lt;&gt;"Female"),IF( MROUND(G94,10)&lt;= 100000, 0, IF(AND(MROUND(G94,10)&gt; 100000,MROUND(G94,10)&lt;= 150000),  ROUND(ABS(MROUND(G94,10)- 100000)*0.1,0), IF(AND(MROUND(G94,10)&gt; 150000, MROUND(G94,10)&lt;= 250000), ROUND(5000+ ABS(MROUND(G94,10)- 150000)*0.2,0),IF(MROUND(G94,10)&gt; 250000,  ROUND(25000+ABS(MROUND(G94,10)- 250000)*0.3,0),  0)))),IF(AND(OR(B94="2005-2006",B94="2006-2007"),$U$22="Female"),IF(MROUND(G94,10)&lt;= 135000, 0, IF(AND(MROUND(G94,10)&gt; 135000, MROUND(G94,10)&lt;= 150000), ROUND(ABS(MROUND(G94,10)- 135000)*0.1,0), IF(AND(MROUND(G94,10)&gt; 150000, MROUND(G94,10)&lt;= 250000), ROUND(1500+ ABS(MROUND(G94,10)- 150000)*0.2,0),  IF(MROUND(G94,10)&gt; 250000, ROUND(21500+ABS(MROUND(G94,10)- 250000)*0.3,0),0)))),IF(AND(B94="2007-2008",$U$22&lt;&gt;"Female"), IF(MROUND(G94,10)&lt;= 110000,  0,  IF(AND(MROUND(G94,10)&gt; 110000, MROUND(G94,10)&lt;= 150000), ROUND(ABS(MROUND(G94,10)- 110000)*0.1,0),  IF(AND(MROUND(G94,10)&gt; 150000, MROUND(G94,10)&lt;= 250000),  ROUND(4000+ ABS(MROUND(G94,10)- 150000)*0.2,0),   IF(MROUND(G94,10)&gt; 250000,   ROUND(24000+ABS(MROUND(G94,10)- 250000)*0.3,0),0)))),IF(AND(B94="2007-2008",$U$22="Female"), IF(MROUND(G94,10)&lt;= 145000, 0, IF(AND(MROUND(G94,10)&gt; 145000, MROUND(G94,10)&lt;= 150000),     ROUND(ABS(MROUND(G94,10)- 145000)*0.1,0),  IF(AND(MROUND(G94,10)&gt; 150000, MROUND(G94,10)&lt;= 250000),  ROUND(500+ ABS(MROUND(G94,10)- 150000)*0.2,0),  IF(MROUND(G94,10)&gt; 250000, ROUND(20500+ABS(MROUND(G94,10)- 250000)*0.3,0),0)))), IF(AND(B94="2008-2009",$U$22&lt;&gt;"Female"), IF(MROUND(G94,10)&lt;= 150000, 0, IF(AND(MROUND(G94,10)&gt; 150000, MROUND(G94,10)&lt;= 300000), ROUND(ABS(MROUND(G94,10)- 150000)*0.1,0), IF(AND(MROUND(G94,10)&gt; 300000, MROUND(G94,10)&lt;= 500000),  ROUND(15000+ ABS(MROUND(G94,10)- 300000)*0.2,0),  IF(MROUND(G94,10)&gt; 500000,  ROUND(55000+ABS(MROUND(G94,10)- 500000)*0.3,0),0)))), IF(AND(B94="2008-2009",$U$22="Female"), IF(MROUND(G94,10)&lt;= 180000, 0, IF(AND(MROUND(G94,10)&gt; 180000, MROUND(G94,10)&lt;= 300000), ROUND(ABS(MROUND(G94,10)- 180000)*0.1,0), IF(AND(MROUND(G94,10)&gt; 300000, MROUND(G94,10)&lt;= 500000), ROUND(12000+ ABS(MROUND(G94,10)- 300000)*0.2,0),  IF(MROUND(G94,10)&gt; 500000,  ROUND(52000+ABS(MROUND(G94,10)- 500000)*0.3,0),0)))), IF(AND(B94="2009-2010", $U$22&lt;&gt;"Female"), IF(MROUND(G94,10)&lt;= 160000, 0, IF(AND(MROUND(G94,10)&gt; 160000, MROUND(G94,10)&lt;= 300000),ROUND(ABS(MROUND(G94,10)- 160000)*0.1,0), IF(AND(MROUND(G94,10)&gt; 300000, MROUND(G94,10)&lt;= 500000),ROUND(14000+ ABS(MROUND(G94,10)- 300000)*0.2,0),  IF(MROUND(G94,10)&gt; 500000, ROUND(54000+ABS(MROUND(G94,10)- 500000)*0.3,0),0)))),IF(AND(B94="2009-2010",$U$22="Female"), IF(MROUND(G94,10)&lt;= 190000, 0, IF(AND(MROUND(G94,10)&gt; 190000, MROUND(G94,10)&lt;= 300000),ROUND(ABS(MROUND(G94,10)- 190000)*0.1,0), IF(AND(MROUND(G94,10)&gt; 300000, MROUND(G94,10)&lt;= 500000), ROUND(11000+ ABS(MROUND(G94,10)- 300000)*0.2,0),IF(MROUND(G94,10)&gt; 500000,  ROUND(51000+ABS(MROUND(G94,10)- 500000)*0.3,0),0)))), IF(AND(B94="2010-2011",$U$22&lt;&gt;"Female"), IF(MROUND(G94,10)&lt;= 160000, 0, IF(AND(MROUND(G94,10)&gt; 160000, MROUND(G94,10)&lt;= 500000), ROUND(ABS(MROUND(G94,10)- 160000)*0.1,0), IF(AND(MROUND(G94,10)&gt; 500000, MROUND(G94,10)&lt;= 800000), ROUND(34000+ ABS(MROUND(G94,10)- 500000)*0.2,0),  IF(MROUND(G94,10)&gt; 800000,  ROUND(94000+ABS(MROUND(G94,10)- 800000)*0.3,0),0)))), IF(AND(OR(B94="2010-2011",B94="2011-2012"),$U$22="Female"), IF(MROUND(G94,10)&lt;= 190000, 0, IF(AND(MROUND(G94,10)&gt; 190000, MROUND(G94,10)&lt;= 500000), ROUND(ABS(MROUND(G94,10)- 190000)*0.1,0), IF(AND(MROUND(G94,10)&gt; 500000, MROUND(G94,10)&lt;= 800000),  ROUND(31000+ ABS(MROUND(G94,10)- 500000)*0.2,0),  IF(MROUND(G94,10)&gt; 800000,  ROUND(91000+ABS(MROUND(G94,10)- 800000)*0.3,0),0)))), IF(AND(B94="2011-2012", $U$22&lt;&gt;"Female"), IF(MROUND(G94,10)&lt;= 180000, 0, IF(AND(MROUND(G94,10)&gt; 180000, MROUND(G94,10)&lt;= 500000), ROUND(ABS(MROUND(G94,10)- 180000)*0.1,0), IF(AND(MROUND(G94,10)&gt; 500000, MROUND(G94,10)&lt;= 800000),  ROUND(32000+ ABS(MROUND(G94,10)- 500000)*0.2,0),  IF(MROUND(G94,10)&gt; 800000,  ROUND(92000+ABS(MROUND(G94,10)- 800000)*0.3,0),0)))), IF(OR(B94="2012-2013",B94="2013-2014"), IF(MROUND(G94,10)&lt;= 200000, 0, IF(AND(MROUND(G94,10)&gt; 200000, MROUND(G94,10)&lt;= 500000), ROUND(ABS(MROUND(G94,10)- 200000)*0.1,0), IF(AND(MROUND(G94,10)&gt; 500000, MROUND(G94,10)&lt;= 1000000),  ROUND(30000+ ABS(MROUND(G94,10)- 500000)*0.2,0),  IF(MROUND(G94,10)&gt; 1000000,  ROUND(130000+ABS(MROUND(G94,10)- 1000000)*0.3,0),0)))), IF(OR(B94="2014-2015", B94="2015-2016",B94="2016-2017"), IF(MROUND(G94,10)&lt;= 250000, 0, IF(AND(MROUND(G94,10)&gt; 250000, MROUND(G94,10)&lt;= 500000), ROUND(ABS(MROUND(G94,10)- 250000)*0.1,0), IF(AND(MROUND(G94,10)&gt; 500000, MROUND(G94,10)&lt;= 1000000),  ROUND(25000+ ABS(MROUND(G94,10)- 500000)*0.2,0),  IF(MROUND(G94,10)&gt; 1000000,  ROUND(125000+ABS(MROUND(G94,10)- 1000000)*0.3,0), 0)))), IF(OR(B94="2017-2018",B94="2018-2019",B94="2019-2020",AND(B94="2020-2021",'Basic Information'!$AG$12="No"),AND(B94="2021-2022",'Basic Information'!$AG$15="No"),AND(B94="2022-2023",'Basic Information'!$AG$18="No"),AND(B94="2023-2024",'Basic Information'!$AG$21="Yes"),AND(B94="2024-2025",'Basic Information'!$AG$24="Yes")), IF(MROUND(G94,10)&lt;= 250000, 0, IF(AND(MROUND(G94,10)&gt; 250000, MROUND(G94,10)&lt;= 500000), ROUND(ABS(MROUND(G94,10)- 250000)*0.05,0), IF(AND(MROUND(G94,10)&gt; 500000, MROUND(G94,10)&lt;= 1000000),  ROUND(12500+ ABS(MROUND(G94,10)- 500000)*0.2,0),  IF(MROUND(G94,10)&gt; 1000000,  ROUND(112500+ABS(MROUND(G94,10)- 1000000)*0.3,0), 0)))),IF(OR(AND(B94="2020-2021",'Basic Information'!$AG$12="Yes"),AND(B94="2021-2022",'Basic Information'!$AG$15="Yes"),AND(B94="2022-2023",'Basic Information'!$AG$18="Yes")), IF(MROUND(G94,10)&lt;= 250000, 0, IF(AND(MROUND(G94,10)&gt; 250000, MROUND(G94,10)&lt;= 500000), ROUND(ABS(MROUND(G94,10)- 250000)*0.05,0), IF(AND(MROUND(G94,10)&gt; 500000, MROUND(G94,10)&lt;= 750000),  ROUND(12500+ ABS(MROUND(G94,10)- 500000)*0.1,0), IF(AND(MROUND(G94,10)&gt; 750000, MROUND(G94,10)&lt;= 1000000),  ROUND(37500+ ABS(MROUND(G94,10)- 750000)*0.15,0),IF(AND(MROUND(G94,10)&gt; 1000000, MROUND(G94,10)&lt;= 1250000),  ROUND(75000+ ABS(MROUND(G94,10)- 1000000)*0.2,0),IF(AND(MROUND(G94,10)&gt; 1250000, MROUND(G94,10)&lt;= 1500000),  ROUND(125000+ ABS(MROUND(G94,10)- 1250000)*0.25,0), IF(MROUND(G94,10)&gt; 1500000,  ROUND(187500+ABS(MROUND(G94,10)- 1500000)*0.3,0), 0))))))),IF(AND(B94="2023-2024",'Basic Information'!$AG$21="No"), IF(MROUND(G94,10)&lt;= 300000, 0, IF(AND(MROUND(G94,10)&gt; 300000, MROUND(G94,10)&lt;= 600000), ROUND(ABS(MROUND(G94,10)- 300000)*0.05,0), IF(AND(MROUND(G94,10)&gt; 600000, MROUND(G94,10)&lt;= 900000),  ROUND(15000+ ABS(MROUND(G94,10)- 600000)*0.1,0), IF(AND(MROUND(G94,10)&gt; 900000, MROUND(G94,10)&lt;= 1200000),  ROUND(45000+ ABS(MROUND(G94,10)- 900000)*0.15,0),IF(AND(MROUND(G94,10)&gt; 1200000, MROUND(G94,10)&lt;= 1500000),  ROUND(90000+ ABS(MROUND(G94,10)- 1200000)*0.2,0), IF(MROUND(G94,10)&gt; 1500000,  ROUND(150000+ABS(MROUND(G94,10)- 1500000)*0.3,0), 0)))))),IF(AND(B94="2024-2025",'Basic Information'!$AG$24="No"), IF(MROUND(G94,10)&lt;= 300000, 0, IF(AND(MROUND(G94,10)&gt; 300000, MROUND(G94,10)&lt;= 700000), ROUND(ABS(MROUND(G94,10)- 300000)*0.05,0), IF(AND(MROUND(G94,10)&gt; 700000, MROUND(G94,10)&lt;= 1000000),  ROUND(20000+ ABS(MROUND(G94,10)- 700000)*0.1,0), IF(AND(MROUND(G94,10)&gt; 1000000, MROUND(G94,10)&lt;= 1200000),  ROUND(50000+ ABS(MROUND(G94,10)- 1000000)*0.15,0),IF(AND(MROUND(G94,10)&gt; 1200000, MROUND(G94,10)&lt;= 1500000),  ROUND(80000+ ABS(MROUND(G94,10)- 1200000)*0.2,0), IF(MROUND(G94,10)&gt; 1500000,  ROUND(140000+ABS(MROUND(G94,10)- 1500000)*0.3,0), 0)))))),0)))))))))))))))))</f>
        <v>0</v>
      </c>
      <c r="AU94" s="6">
        <f>IF(OR(B94="2013-2014",B94="2014-2015",B94="2015-2016"),IF(AND(MROUND(G94,10)&lt;=500000,MROUND(G94,10)&lt;&gt;0),IF(AT94&lt;=2000, AT94,2000),0), IF(B94="2016-2017",IF(AND(MROUND(G94,10)&lt;=500000,MROUND(G94,10)&lt;&gt;0),IF(AT94&lt;=5000, AT94,5000),0), IF(OR(B94="2017-2018",B94="2018-2019"),IF(AND(MROUND(G94,10)&lt;=350000,MROUND(G94,10)&lt;&gt;0),IF(AT94&lt;=2500, AT94,2500),0), IF(OR(B94="2019-2020",B94="2020-2021",B94="2021-2022",B94="2022-2023",AND(B94="2023-2024",'Basic Information'!$AG$21="Yes"),AND(B94="2024-2025",'Basic Information'!$AG$24="Yes")),IF(AND(MROUND(G94,10)&lt;=500000,MROUND(G94,10)&lt;&gt;0),IF(AT94&lt;=12500, AT94,12500),0), IF(OR(AND(B94="2023-2024",'Basic Information'!$AG$21="No")),IF(AND(MROUND(G94,10)&lt;=700000,MROUND(G94,10)&lt;&gt;0),IF(AT94&lt;=25000, AT94,25000),IF(AND(MROUND(G94,10)&lt;&gt;0,(MROUND(G94,10)-700000)&lt;=AT94),AT94-(MROUND(G94,10)-700000),0)), IF(OR(AND(B94="2024-2025",'Basic Information'!$AG$24="No")),IF(AND(MROUND(G94,10)&lt;=700000,MROUND(G94,10)&lt;&gt;0),IF(AT94&lt;=20000, AT94,20000),IF(AND(MROUND(G94,10)&lt;&gt;0,(MROUND(G94,10)-700000)&lt;=AT94),AT94-(MROUND(G94,10)-700000),0)),0))))))</f>
        <v>0</v>
      </c>
      <c r="AV94" s="6">
        <f t="shared" si="5"/>
        <v>0</v>
      </c>
      <c r="AW94" s="6">
        <f t="shared" si="6"/>
        <v>0</v>
      </c>
      <c r="AX94" s="6">
        <f>IF( AND(OR(B94="2005-2006",B94="2006-2007"),$U$22&lt;&gt;"Female"),IF( MROUND(S94,10)&lt;= 100000, 0, IF(AND(MROUND(S94,10)&gt; 100000,MROUND(S94,10)&lt;= 150000),  ROUND(ABS(MROUND(S94,10)- 100000)*0.1,0), IF(AND(MROUND(S94,10)&gt; 150000, MROUND(S94,10)&lt;= 250000), ROUND(5000+ ABS(MROUND(S94,10)- 150000)*0.2,0),IF(MROUND(S94,10)&gt; 250000,  ROUND(25000+ABS(MROUND(S94,10)- 250000)*0.3,0),  0)))),IF(AND(OR(B94="2005-2006",B94="2006-2007"),$U$22="Female"),IF(MROUND(S94,10)&lt;= 135000, 0, IF(AND(MROUND(S94,10)&gt; 135000, MROUND(S94,10)&lt;= 150000), ROUND(ABS(MROUND(S94,10)- 135000)*0.1,0), IF(AND(MROUND(S94,10)&gt; 150000, MROUND(S94,10)&lt;= 250000), ROUND(1500+ ABS(MROUND(S94,10)- 150000)*0.2,0),  IF(MROUND(S94,10)&gt; 250000, ROUND(21500+ABS(MROUND(S94,10)- 250000)*0.3,0),0)))),IF(AND(B94="2007-2008",$U$22&lt;&gt;"Female"), IF(MROUND(S94,10)&lt;= 110000,  0,  IF(AND(MROUND(S94,10)&gt; 110000, MROUND(S94,10)&lt;= 150000),     ROUND(ABS(MROUND(S94,10)- 110000)*0.1,0),  IF(AND(MROUND(S94,10)&gt; 150000, MROUND(S94,10)&lt;= 250000),  ROUND(4000+ ABS(MROUND(S94,10)- 150000)*0.2,0),   IF(MROUND(S94,10)&gt; 250000,   ROUND(24000+ABS(MROUND(S94,10)- 250000)*0.3,0),0)))),IF(AND(B94="2007-2008",$U$22="Female"), IF(MROUND(S94,10)&lt;= 145000, 0, IF(AND(MROUND(S94,10)&gt; 145000, MROUND(S94,10)&lt;= 150000),     ROUND(ABS(MROUND(S94,10)- 145000)*0.1,0),  IF(AND(MROUND(S94,10)&gt; 150000, MROUND(S94,10)&lt;= 250000),  ROUND(500+ ABS(MROUND(S94,10)- 150000)*0.2,0),  IF(MROUND(S94,10)&gt; 250000, ROUND(20500+ABS(MROUND(S94,10)- 250000)*0.3,0),0)))), IF(AND(B94="2008-2009",$U$22&lt;&gt;"Female"), IF(MROUND(S94,10)&lt;= 150000, 0, IF(AND(MROUND(S94,10)&gt; 150000, MROUND(S94,10)&lt;= 300000), ROUND(ABS(MROUND(S94,10)- 150000)*0.1,0), IF(AND(MROUND(S94,10)&gt; 300000, MROUND(S94,10)&lt;= 500000),  ROUND(15000+ ABS(MROUND(S94,10)- 300000)*0.2,0),  IF(MROUND(S94,10)&gt; 500000,  ROUND(55000+ABS(MROUND(S94,10)- 500000)*0.3,0),0)))), IF(AND(B94="2008-2009",$U$22="Female"), IF(MROUND(S94,10)&lt;= 180000, 0, IF(AND(MROUND(S94,10)&gt; 180000, MROUND(S94,10)&lt;= 300000), ROUND(ABS(MROUND(S94,10)- 180000)*0.1,0), IF(AND(MROUND(S94,10)&gt; 300000, MROUND(S94,10)&lt;= 500000), ROUND(12000+ ABS(MROUND(S94,10)- 300000)*0.2,0),  IF(MROUND(S94,10)&gt; 500000,  ROUND(52000+ABS(MROUND(S94,10)- 500000)*0.3,0),0)))), IF(AND(B94="2009-2010", $U$22&lt;&gt;"Female"), IF(MROUND(S94,10)&lt;= 160000, 0, IF(AND(MROUND(S94,10)&gt; 160000, MROUND(S94,10)&lt;= 300000),ROUND(ABS(MROUND(S94,10)- 160000)*0.1,0), IF(AND(MROUND(S94,10)&gt; 300000, MROUND(S94,10)&lt;= 500000),ROUND(14000+ ABS(MROUND(S94,10)- 300000)*0.2,0),  IF(MROUND(S94,10)&gt; 500000, ROUND(54000+ABS(MROUND(S94,10)- 500000)*0.3,0),0)))),IF(AND(B94="2009-2010",$U$22="Female"), IF(MROUND(S94,10)&lt;= 190000, 0, IF(AND(MROUND(S94,10)&gt; 190000, MROUND(S94,10)&lt;= 300000),ROUND(ABS(MROUND(S94,10)- 190000)*0.1,0), IF(AND(MROUND(S94,10)&gt; 300000, MROUND(S94,10)&lt;= 500000), ROUND(11000+ ABS(MROUND(S94,10)- 300000)*0.2,0),IF(MROUND(S94,10)&gt; 500000,  ROUND(51000+ABS(MROUND(S94,10)- 500000)*0.3,0),0)))), IF(AND(B94="2010-2011",$U$22&lt;&gt;"Female"), IF(MROUND(S94,10)&lt;= 160000, 0, IF(AND(MROUND(S94,10)&gt; 160000, MROUND(S94,10)&lt;= 500000), ROUND(ABS(MROUND(S94,10)- 160000)*0.1,0), IF(AND(MROUND(S94,10)&gt; 500000, MROUND(S94,10)&lt;= 800000), ROUND(34000+ ABS(MROUND(S94,10)- 500000)*0.2,0),  IF(MROUND(S94,10)&gt; 800000,  ROUND(94000+ABS(MROUND(S94,10)- 800000)*0.3,0),0)))), IF(AND(OR(B94="2010-2011",B94="2011-2012"),$U$22="Female"), IF(MROUND(S94,10)&lt;= 190000, 0, IF(AND(MROUND(S94,10)&gt; 190000, MROUND(S94,10)&lt;= 500000), ROUND(ABS(MROUND(S94,10)- 190000)*0.1,0), IF(AND(MROUND(S94,10)&gt; 500000, MROUND(S94,10)&lt;= 800000),  ROUND(31000+ ABS(MROUND(S94,10)- 500000)*0.2,0),  IF(MROUND(S94,10)&gt; 800000,  ROUND(91000+ABS(MROUND(S94,10)- 800000)*0.3,0),0)))), IF(AND(B94="2011-2012", $U$22&lt;&gt;"Female"), IF(MROUND(S94,10)&lt;= 180000, 0, IF(AND(MROUND(S94,10)&gt; 180000, MROUND(S94,10)&lt;= 500000), ROUND(ABS(MROUND(S94,10)- 180000)*0.1,0), IF(AND(MROUND(S94,10)&gt; 500000, MROUND(S94,10)&lt;= 800000),  ROUND(32000+ ABS(MROUND(S94,10)- 500000)*0.2,0),  IF(MROUND(S94,10)&gt; 800000,  ROUND(92000+ABS(MROUND(S94,10)- 800000)*0.3,0),0)))), IF(OR(B94="2012-2013",B94="2013-2014"), IF(MROUND(S94,10)&lt;= 200000, 0, IF(AND(MROUND(S94,10)&gt; 200000, MROUND(S94,10)&lt;= 500000), ROUND(ABS(MROUND(S94,10)- 200000)*0.1,0), IF(AND(MROUND(S94,10)&gt; 500000, MROUND(S94,10)&lt;= 1000000),  ROUND(30000+ ABS(MROUND(S94,10)- 500000)*0.2,0),  IF(MROUND(S94,10)&gt; 1000000,  ROUND(130000+ABS(MROUND(S94,10)- 1000000)*0.3,0),0)))), IF(OR(B94="2014-2015", B94="2015-2016",B94="2016-2017"), IF(MROUND(S94,10)&lt;= 250000, 0, IF(AND(MROUND(S94,10)&gt; 250000, MROUND(S94,10)&lt;= 500000), ROUND(ABS(MROUND(S94,10)- 250000)*0.1,0), IF(AND(MROUND(S94,10)&gt; 500000, MROUND(S94,10)&lt;= 1000000),  ROUND(25000+ ABS(MROUND(S94,10)- 500000)*0.2,0),  IF(MROUND(S94,10)&gt; 1000000,  ROUND(125000+ABS(MROUND(S94,10)- 1000000)*0.3,0), 0)))),IF(OR(B94="2017-2018",B94="2018-2019",B94="2019-2020",AND(B94="2020-2021",'Basic Information'!$AG$12="No"),AND(B94="2021-2022",'Basic Information'!$AG$15="No"),AND(B94="2022-2023",'Basic Information'!$AG$18="No"),AND(B94="2023-2024",'Basic Information'!$AG$21="Yes"),AND(B94="2024-2025",'Basic Information'!$AG$24="Yes")), IF(MROUND(S94,10)&lt;= 250000, 0, IF(AND(MROUND(S94,10)&gt; 250000, MROUND(S94,10)&lt;= 500000), ROUND(ABS(MROUND(S94,10)- 250000)*0.05,0), IF(AND(MROUND(S94,10)&gt; 500000, MROUND(S94,10)&lt;= 1000000),  ROUND(12500+ ABS(MROUND(S94,10)- 500000)*0.2,0),  IF(MROUND(S94,10)&gt; 1000000,  ROUND(112500+ABS(MROUND(S94,10)- 1000000)*0.3,0), 0)))),IF(OR(AND(B94="2020-2021",'Basic Information'!$AG$12="Yes"),AND(B94="2021-2022",'Basic Information'!$AG$15="Yes"),AND(B94="2022-2023",'Basic Information'!$AG$18="Yes")), IF(MROUND(S94,10)&lt;= 250000, 0, IF(AND(MROUND(S94,10)&gt; 250000, MROUND(S94,10)&lt;= 500000), ROUND(ABS(MROUND(S94,10)- 250000)*0.05,0), IF(AND(MROUND(S94,10)&gt; 500000, MROUND(S94,10)&lt;= 750000),  ROUND(12500+ ABS(MROUND(S94,10)- 500000)*0.1,0), IF(AND(MROUND(S94,10)&gt; 750000, MROUND(S94,10)&lt;= 1000000),  ROUND(37500+ ABS(MROUND(S94,10)- 750000)*0.15,0),IF(AND(MROUND(S94,10)&gt; 1000000, MROUND(S94,10)&lt;= 1250000),  ROUND(75000+ ABS(MROUND(S94,10)- 1000000)*0.2,0),IF(AND(MROUND(S94,10)&gt; 1250000, MROUND(S94,10)&lt;= 1500000),  ROUND(125000+ ABS(MROUND(S94,10)- 1250000)*0.25,0), IF(MROUND(S94,10)&gt; 1500000,  ROUND(187500+ABS(MROUND(S94,10)- 1500000)*0.3,0), 0))))))),IF(AND(B94="2023-2024",'Basic Information'!$AG$21="No"), IF(MROUND(S94,10)&lt;= 300000, 0, IF(AND(MROUND(S94,10)&gt; 300000, MROUND(S94,10)&lt;= 600000), ROUND(ABS(MROUND(S94,10)- 300000)*0.05,0), IF(AND(MROUND(S94,10)&gt; 600000, MROUND(S94,10)&lt;= 900000),  ROUND(15000+ ABS(MROUND(S94,10)- 600000)*0.1,0), IF(AND(MROUND(S94,10)&gt; 900000, MROUND(S94,10)&lt;= 1200000),  ROUND(45000+ ABS(MROUND(S94,10)- 900000)*0.15,0),IF(AND(MROUND(S94,10)&gt; 1200000, MROUND(S94,10)&lt;= 1500000),  ROUND(90000+ ABS(MROUND(S94,10)- 1200000)*0.2,0), IF(MROUND(S94,10)&gt; 1500000,  ROUND(150000+ABS(MROUND(S94,10)- 1500000)*0.3,0), 0)))))),IF(AND(B94="2024-2025",'Basic Information'!$AG$24="No"), IF(MROUND(S94,10)&lt;= 300000, 0, IF(AND(MROUND(S94,10)&gt; 300000, MROUND(S94,10)&lt;= 700000), ROUND(ABS(MROUND(S94,10)- 300000)*0.05,0), IF(AND(MROUND(S94,10)&gt; 700000, MROUND(S94,10)&lt;= 1000000),  ROUND(20000+ ABS(MROUND(S94,10)- 700000)*0.1,0), IF(AND(MROUND(S94,10)&gt; 1000000, MROUND(S94,10)&lt;= 1200000),  ROUND(50000+ ABS(MROUND(S94,10)- 1000000)*0.15,0),IF(AND(MROUND(S94,10)&gt; 1200000, MROUND(S94,10)&lt;= 1500000),  ROUND(80000+ ABS(MROUND(S94,10)- 1200000)*0.2,0), IF(MROUND(S94,10)&gt; 1500000,  ROUND(140000+ABS(MROUND(S94,10)- 1500000)*0.3,0), 0)))))),0)))))))))))))))))</f>
        <v>0</v>
      </c>
      <c r="AY94" s="6">
        <f>IF(OR(B94="2013-2014",B94="2014-2015",B94="2015-2016"),IF(AND(MROUND(S94,10)&lt;=500000,MROUND(S94,10)&lt;&gt;0),IF(AX94&lt;=2000, AX94,2000),0), IF(B94="2016-2017",IF(AND(MROUND(S94,10)&lt;=500000, MROUND(S94,10)&lt;&gt;0),IF(AX94&lt;=5000, AX94,5000),0), IF(OR(B94="2017-2018",B94="2018-2019"),IF(AND(MROUND(S94,10)&lt;=350000,MROUND(S94,10)&lt;&gt;0),IF(AX94&lt;=2500, AX94,2500),0), IF(OR(B94="2019-2020",B94="2020-2021",B94="2021-2022",B94="2022-2023",AND(B94="2023-2024",'Basic Information'!$AG$21="Yes"),AND(B94="2024-2025",'Basic Information'!$AG$24="Yes")),IF(AND(MROUND(S94,10)&lt;=500000,MROUND(S94,10)&lt;&gt;0),IF(AX94&lt;=12500, AX94,12500),0), IF(OR(AND(B94="2023-2024",'Basic Information'!$AG$21="No")),IF(AND(MROUND(S94,10)&lt;=700000,MROUND(S94,10)&lt;&gt;0),IF(AX94&lt;=25000, AX94,25000),IF(AND(MROUND(S94,10)&lt;&gt;0,(MROUND(S94,10)-700000)&lt;= AX94), AX94-(MROUND(S94,10)-700000),0)), IF(OR(AND(B94="2024-2025",'Basic Information'!$AG$24="No")),IF(AND(MROUND(S94,10)&lt;=700000,MROUND(S94,10)&lt;&gt;0),IF(AX94&lt;=20000, AX94,20000),IF(AND(MROUND(S94,10)&lt;&gt;0,(MROUND(S94,10)-700000)&lt;= AX94), AX94-(MROUND(S94,10)-700000),0)),0))))))</f>
        <v>0</v>
      </c>
      <c r="AZ94" s="6">
        <f t="shared" si="0"/>
        <v>0</v>
      </c>
      <c r="BA94" s="6">
        <f t="shared" si="7"/>
        <v>0</v>
      </c>
    </row>
    <row r="95" spans="2:53" x14ac:dyDescent="0.3">
      <c r="B95" s="452"/>
      <c r="C95" s="453"/>
      <c r="D95" s="453"/>
      <c r="E95" s="453"/>
      <c r="F95" s="454"/>
      <c r="G95" s="455"/>
      <c r="H95" s="456"/>
      <c r="I95" s="456"/>
      <c r="J95" s="456"/>
      <c r="K95" s="456"/>
      <c r="L95" s="457"/>
      <c r="M95" s="455"/>
      <c r="N95" s="456"/>
      <c r="O95" s="456"/>
      <c r="P95" s="456"/>
      <c r="Q95" s="456"/>
      <c r="R95" s="457"/>
      <c r="S95" s="458">
        <f t="shared" si="1"/>
        <v>0</v>
      </c>
      <c r="T95" s="459"/>
      <c r="U95" s="459"/>
      <c r="V95" s="459"/>
      <c r="W95" s="459"/>
      <c r="X95" s="460"/>
      <c r="Y95" s="458">
        <f t="shared" si="2"/>
        <v>0</v>
      </c>
      <c r="Z95" s="459"/>
      <c r="AA95" s="459"/>
      <c r="AB95" s="459"/>
      <c r="AC95" s="459"/>
      <c r="AD95" s="460"/>
      <c r="AE95" s="458">
        <f t="shared" si="3"/>
        <v>0</v>
      </c>
      <c r="AF95" s="459"/>
      <c r="AG95" s="459"/>
      <c r="AH95" s="459"/>
      <c r="AI95" s="459"/>
      <c r="AJ95" s="461"/>
      <c r="AK95" s="462">
        <f t="shared" si="4"/>
        <v>0</v>
      </c>
      <c r="AL95" s="463"/>
      <c r="AM95" s="463"/>
      <c r="AN95" s="463"/>
      <c r="AO95" s="463"/>
      <c r="AP95" s="464"/>
      <c r="AQ95" s="36" t="str">
        <f t="shared" ref="AQ95:AQ101" si="8">IF(AND(OR(NOT(ISBLANK(G95)),NOT(ISBLANK(M95))),OR(ISBLANK(B95),B95="Select")),"Please select a Financial Year","")</f>
        <v/>
      </c>
      <c r="AT95" s="6">
        <f>IF( AND(OR(B95="2005-2006",B95="2006-2007"),$U$22&lt;&gt;"Female"),IF( MROUND(G95,10)&lt;= 100000, 0, IF(AND(MROUND(G95,10)&gt; 100000,MROUND(G95,10)&lt;= 150000),  ROUND(ABS(MROUND(G95,10)- 100000)*0.1,0), IF(AND(MROUND(G95,10)&gt; 150000, MROUND(G95,10)&lt;= 250000), ROUND(5000+ ABS(MROUND(G95,10)- 150000)*0.2,0),IF(MROUND(G95,10)&gt; 250000,  ROUND(25000+ABS(MROUND(G95,10)- 250000)*0.3,0),  0)))),IF(AND(OR(B95="2005-2006",B95="2006-2007"),$U$22="Female"),IF(MROUND(G95,10)&lt;= 135000, 0, IF(AND(MROUND(G95,10)&gt; 135000, MROUND(G95,10)&lt;= 150000), ROUND(ABS(MROUND(G95,10)- 135000)*0.1,0), IF(AND(MROUND(G95,10)&gt; 150000, MROUND(G95,10)&lt;= 250000), ROUND(1500+ ABS(MROUND(G95,10)- 150000)*0.2,0),  IF(MROUND(G95,10)&gt; 250000, ROUND(21500+ABS(MROUND(G95,10)- 250000)*0.3,0),0)))),IF(AND(B95="2007-2008",$U$22&lt;&gt;"Female"), IF(MROUND(G95,10)&lt;= 110000,  0,  IF(AND(MROUND(G95,10)&gt; 110000, MROUND(G95,10)&lt;= 150000), ROUND(ABS(MROUND(G95,10)- 110000)*0.1,0),  IF(AND(MROUND(G95,10)&gt; 150000, MROUND(G95,10)&lt;= 250000),  ROUND(4000+ ABS(MROUND(G95,10)- 150000)*0.2,0),   IF(MROUND(G95,10)&gt; 250000,   ROUND(24000+ABS(MROUND(G95,10)- 250000)*0.3,0),0)))),IF(AND(B95="2007-2008",$U$22="Female"), IF(MROUND(G95,10)&lt;= 145000, 0, IF(AND(MROUND(G95,10)&gt; 145000, MROUND(G95,10)&lt;= 150000),     ROUND(ABS(MROUND(G95,10)- 145000)*0.1,0),  IF(AND(MROUND(G95,10)&gt; 150000, MROUND(G95,10)&lt;= 250000),  ROUND(500+ ABS(MROUND(G95,10)- 150000)*0.2,0),  IF(MROUND(G95,10)&gt; 250000, ROUND(20500+ABS(MROUND(G95,10)- 250000)*0.3,0),0)))), IF(AND(B95="2008-2009",$U$22&lt;&gt;"Female"), IF(MROUND(G95,10)&lt;= 150000, 0, IF(AND(MROUND(G95,10)&gt; 150000, MROUND(G95,10)&lt;= 300000), ROUND(ABS(MROUND(G95,10)- 150000)*0.1,0), IF(AND(MROUND(G95,10)&gt; 300000, MROUND(G95,10)&lt;= 500000),  ROUND(15000+ ABS(MROUND(G95,10)- 300000)*0.2,0),  IF(MROUND(G95,10)&gt; 500000,  ROUND(55000+ABS(MROUND(G95,10)- 500000)*0.3,0),0)))), IF(AND(B95="2008-2009",$U$22="Female"), IF(MROUND(G95,10)&lt;= 180000, 0, IF(AND(MROUND(G95,10)&gt; 180000, MROUND(G95,10)&lt;= 300000), ROUND(ABS(MROUND(G95,10)- 180000)*0.1,0), IF(AND(MROUND(G95,10)&gt; 300000, MROUND(G95,10)&lt;= 500000), ROUND(12000+ ABS(MROUND(G95,10)- 300000)*0.2,0),  IF(MROUND(G95,10)&gt; 500000,  ROUND(52000+ABS(MROUND(G95,10)- 500000)*0.3,0),0)))), IF(AND(B95="2009-2010", $U$22&lt;&gt;"Female"), IF(MROUND(G95,10)&lt;= 160000, 0, IF(AND(MROUND(G95,10)&gt; 160000, MROUND(G95,10)&lt;= 300000),ROUND(ABS(MROUND(G95,10)- 160000)*0.1,0), IF(AND(MROUND(G95,10)&gt; 300000, MROUND(G95,10)&lt;= 500000),ROUND(14000+ ABS(MROUND(G95,10)- 300000)*0.2,0),  IF(MROUND(G95,10)&gt; 500000, ROUND(54000+ABS(MROUND(G95,10)- 500000)*0.3,0),0)))),IF(AND(B95="2009-2010",$U$22="Female"), IF(MROUND(G95,10)&lt;= 190000, 0, IF(AND(MROUND(G95,10)&gt; 190000, MROUND(G95,10)&lt;= 300000),ROUND(ABS(MROUND(G95,10)- 190000)*0.1,0), IF(AND(MROUND(G95,10)&gt; 300000, MROUND(G95,10)&lt;= 500000), ROUND(11000+ ABS(MROUND(G95,10)- 300000)*0.2,0),IF(MROUND(G95,10)&gt; 500000,  ROUND(51000+ABS(MROUND(G95,10)- 500000)*0.3,0),0)))), IF(AND(B95="2010-2011",$U$22&lt;&gt;"Female"), IF(MROUND(G95,10)&lt;= 160000, 0, IF(AND(MROUND(G95,10)&gt; 160000, MROUND(G95,10)&lt;= 500000), ROUND(ABS(MROUND(G95,10)- 160000)*0.1,0), IF(AND(MROUND(G95,10)&gt; 500000, MROUND(G95,10)&lt;= 800000), ROUND(34000+ ABS(MROUND(G95,10)- 500000)*0.2,0),  IF(MROUND(G95,10)&gt; 800000,  ROUND(94000+ABS(MROUND(G95,10)- 800000)*0.3,0),0)))), IF(AND(OR(B95="2010-2011",B95="2011-2012"),$U$22="Female"), IF(MROUND(G95,10)&lt;= 190000, 0, IF(AND(MROUND(G95,10)&gt; 190000, MROUND(G95,10)&lt;= 500000), ROUND(ABS(MROUND(G95,10)- 190000)*0.1,0), IF(AND(MROUND(G95,10)&gt; 500000, MROUND(G95,10)&lt;= 800000),  ROUND(31000+ ABS(MROUND(G95,10)- 500000)*0.2,0),  IF(MROUND(G95,10)&gt; 800000,  ROUND(91000+ABS(MROUND(G95,10)- 800000)*0.3,0),0)))), IF(AND(B95="2011-2012", $U$22&lt;&gt;"Female"), IF(MROUND(G95,10)&lt;= 180000, 0, IF(AND(MROUND(G95,10)&gt; 180000, MROUND(G95,10)&lt;= 500000), ROUND(ABS(MROUND(G95,10)- 180000)*0.1,0), IF(AND(MROUND(G95,10)&gt; 500000, MROUND(G95,10)&lt;= 800000),  ROUND(32000+ ABS(MROUND(G95,10)- 500000)*0.2,0),  IF(MROUND(G95,10)&gt; 800000,  ROUND(92000+ABS(MROUND(G95,10)- 800000)*0.3,0),0)))), IF(OR(B95="2012-2013",B95="2013-2014"), IF(MROUND(G95,10)&lt;= 200000, 0, IF(AND(MROUND(G95,10)&gt; 200000, MROUND(G95,10)&lt;= 500000), ROUND(ABS(MROUND(G95,10)- 200000)*0.1,0), IF(AND(MROUND(G95,10)&gt; 500000, MROUND(G95,10)&lt;= 1000000),  ROUND(30000+ ABS(MROUND(G95,10)- 500000)*0.2,0),  IF(MROUND(G95,10)&gt; 1000000,  ROUND(130000+ABS(MROUND(G95,10)- 1000000)*0.3,0),0)))), IF(OR(B95="2014-2015", B95="2015-2016",B95="2016-2017"), IF(MROUND(G95,10)&lt;= 250000, 0, IF(AND(MROUND(G95,10)&gt; 250000, MROUND(G95,10)&lt;= 500000), ROUND(ABS(MROUND(G95,10)- 250000)*0.1,0), IF(AND(MROUND(G95,10)&gt; 500000, MROUND(G95,10)&lt;= 1000000),  ROUND(25000+ ABS(MROUND(G95,10)- 500000)*0.2,0),  IF(MROUND(G95,10)&gt; 1000000,  ROUND(125000+ABS(MROUND(G95,10)- 1000000)*0.3,0), 0)))), IF(OR(B95="2017-2018",B95="2018-2019",B95="2019-2020",AND(B95="2020-2021",'Basic Information'!$AG$12="No"),AND(B95="2021-2022",'Basic Information'!$AG$15="No"),AND(B95="2022-2023",'Basic Information'!$AG$18="No"),AND(B95="2023-2024",'Basic Information'!$AG$21="Yes"),AND(B95="2024-2025",'Basic Information'!$AG$24="Yes")), IF(MROUND(G95,10)&lt;= 250000, 0, IF(AND(MROUND(G95,10)&gt; 250000, MROUND(G95,10)&lt;= 500000), ROUND(ABS(MROUND(G95,10)- 250000)*0.05,0), IF(AND(MROUND(G95,10)&gt; 500000, MROUND(G95,10)&lt;= 1000000),  ROUND(12500+ ABS(MROUND(G95,10)- 500000)*0.2,0),  IF(MROUND(G95,10)&gt; 1000000,  ROUND(112500+ABS(MROUND(G95,10)- 1000000)*0.3,0), 0)))),IF(OR(AND(B95="2020-2021",'Basic Information'!$AG$12="Yes"),AND(B95="2021-2022",'Basic Information'!$AG$15="Yes"),AND(B95="2022-2023",'Basic Information'!$AG$18="Yes")), IF(MROUND(G95,10)&lt;= 250000, 0, IF(AND(MROUND(G95,10)&gt; 250000, MROUND(G95,10)&lt;= 500000), ROUND(ABS(MROUND(G95,10)- 250000)*0.05,0), IF(AND(MROUND(G95,10)&gt; 500000, MROUND(G95,10)&lt;= 750000),  ROUND(12500+ ABS(MROUND(G95,10)- 500000)*0.1,0), IF(AND(MROUND(G95,10)&gt; 750000, MROUND(G95,10)&lt;= 1000000),  ROUND(37500+ ABS(MROUND(G95,10)- 750000)*0.15,0),IF(AND(MROUND(G95,10)&gt; 1000000, MROUND(G95,10)&lt;= 1250000),  ROUND(75000+ ABS(MROUND(G95,10)- 1000000)*0.2,0),IF(AND(MROUND(G95,10)&gt; 1250000, MROUND(G95,10)&lt;= 1500000),  ROUND(125000+ ABS(MROUND(G95,10)- 1250000)*0.25,0), IF(MROUND(G95,10)&gt; 1500000,  ROUND(187500+ABS(MROUND(G95,10)- 1500000)*0.3,0), 0))))))),IF(AND(B95="2023-2024",'Basic Information'!$AG$21="No"), IF(MROUND(G95,10)&lt;= 300000, 0, IF(AND(MROUND(G95,10)&gt; 300000, MROUND(G95,10)&lt;= 600000), ROUND(ABS(MROUND(G95,10)- 300000)*0.05,0), IF(AND(MROUND(G95,10)&gt; 600000, MROUND(G95,10)&lt;= 900000),  ROUND(15000+ ABS(MROUND(G95,10)- 600000)*0.1,0), IF(AND(MROUND(G95,10)&gt; 900000, MROUND(G95,10)&lt;= 1200000),  ROUND(45000+ ABS(MROUND(G95,10)- 900000)*0.15,0),IF(AND(MROUND(G95,10)&gt; 1200000, MROUND(G95,10)&lt;= 1500000),  ROUND(90000+ ABS(MROUND(G95,10)- 1200000)*0.2,0), IF(MROUND(G95,10)&gt; 1500000,  ROUND(150000+ABS(MROUND(G95,10)- 1500000)*0.3,0), 0)))))),IF(AND(B95="2024-2025",'Basic Information'!$AG$24="No"), IF(MROUND(G95,10)&lt;= 300000, 0, IF(AND(MROUND(G95,10)&gt; 300000, MROUND(G95,10)&lt;= 700000), ROUND(ABS(MROUND(G95,10)- 300000)*0.05,0), IF(AND(MROUND(G95,10)&gt; 700000, MROUND(G95,10)&lt;= 1000000),  ROUND(20000+ ABS(MROUND(G95,10)- 700000)*0.1,0), IF(AND(MROUND(G95,10)&gt; 1000000, MROUND(G95,10)&lt;= 1200000),  ROUND(50000+ ABS(MROUND(G95,10)- 1000000)*0.15,0),IF(AND(MROUND(G95,10)&gt; 1200000, MROUND(G95,10)&lt;= 1500000),  ROUND(80000+ ABS(MROUND(G95,10)- 1200000)*0.2,0), IF(MROUND(G95,10)&gt; 1500000,  ROUND(140000+ABS(MROUND(G95,10)- 1500000)*0.3,0), 0)))))),0)))))))))))))))))</f>
        <v>0</v>
      </c>
      <c r="AU95" s="6">
        <f>IF(OR(B95="2013-2014",B95="2014-2015",B95="2015-2016"),IF(AND(MROUND(G95,10)&lt;=500000,MROUND(G95,10)&lt;&gt;0),IF(AT95&lt;=2000, AT95,2000),0), IF(B95="2016-2017",IF(AND(MROUND(G95,10)&lt;=500000,MROUND(G95,10)&lt;&gt;0),IF(AT95&lt;=5000, AT95,5000),0), IF(OR(B95="2017-2018",B95="2018-2019"),IF(AND(MROUND(G95,10)&lt;=350000,MROUND(G95,10)&lt;&gt;0),IF(AT95&lt;=2500, AT95,2500),0), IF(OR(B95="2019-2020",B95="2020-2021",B95="2021-2022",B95="2022-2023",AND(B95="2023-2024",'Basic Information'!$AG$21="Yes"),AND(B95="2024-2025",'Basic Information'!$AG$24="Yes")),IF(AND(MROUND(G95,10)&lt;=500000,MROUND(G95,10)&lt;&gt;0),IF(AT95&lt;=12500, AT95,12500),0), IF(OR(AND(B95="2023-2024",'Basic Information'!$AG$21="No")),IF(AND(MROUND(G95,10)&lt;=700000,MROUND(G95,10)&lt;&gt;0),IF(AT95&lt;=25000, AT95,25000),IF(AND(MROUND(G95,10)&lt;&gt;0,(MROUND(G95,10)-700000)&lt;=AT95),AT95-(MROUND(G95,10)-700000),0)), IF(OR(AND(B95="2024-2025",'Basic Information'!$AG$24="No")),IF(AND(MROUND(G95,10)&lt;=700000,MROUND(G95,10)&lt;&gt;0),IF(AT95&lt;=20000, AT95,20000),IF(AND(MROUND(G95,10)&lt;&gt;0,(MROUND(G95,10)-700000)&lt;=AT95),AT95-(MROUND(G95,10)-700000),0)),0))))))</f>
        <v>0</v>
      </c>
      <c r="AV95" s="6">
        <f t="shared" si="5"/>
        <v>0</v>
      </c>
      <c r="AW95" s="6">
        <f t="shared" si="6"/>
        <v>0</v>
      </c>
      <c r="AX95" s="6">
        <f>IF( AND(OR(B95="2005-2006",B95="2006-2007"),$U$22&lt;&gt;"Female"),IF( MROUND(S95,10)&lt;= 100000, 0, IF(AND(MROUND(S95,10)&gt; 100000,MROUND(S95,10)&lt;= 150000),  ROUND(ABS(MROUND(S95,10)- 100000)*0.1,0), IF(AND(MROUND(S95,10)&gt; 150000, MROUND(S95,10)&lt;= 250000), ROUND(5000+ ABS(MROUND(S95,10)- 150000)*0.2,0),IF(MROUND(S95,10)&gt; 250000,  ROUND(25000+ABS(MROUND(S95,10)- 250000)*0.3,0),  0)))),IF(AND(OR(B95="2005-2006",B95="2006-2007"),$U$22="Female"),IF(MROUND(S95,10)&lt;= 135000, 0, IF(AND(MROUND(S95,10)&gt; 135000, MROUND(S95,10)&lt;= 150000), ROUND(ABS(MROUND(S95,10)- 135000)*0.1,0), IF(AND(MROUND(S95,10)&gt; 150000, MROUND(S95,10)&lt;= 250000), ROUND(1500+ ABS(MROUND(S95,10)- 150000)*0.2,0),  IF(MROUND(S95,10)&gt; 250000, ROUND(21500+ABS(MROUND(S95,10)- 250000)*0.3,0),0)))),IF(AND(B95="2007-2008",$U$22&lt;&gt;"Female"), IF(MROUND(S95,10)&lt;= 110000,  0,  IF(AND(MROUND(S95,10)&gt; 110000, MROUND(S95,10)&lt;= 150000),     ROUND(ABS(MROUND(S95,10)- 110000)*0.1,0),  IF(AND(MROUND(S95,10)&gt; 150000, MROUND(S95,10)&lt;= 250000),  ROUND(4000+ ABS(MROUND(S95,10)- 150000)*0.2,0),   IF(MROUND(S95,10)&gt; 250000,   ROUND(24000+ABS(MROUND(S95,10)- 250000)*0.3,0),0)))),IF(AND(B95="2007-2008",$U$22="Female"), IF(MROUND(S95,10)&lt;= 145000, 0, IF(AND(MROUND(S95,10)&gt; 145000, MROUND(S95,10)&lt;= 150000),     ROUND(ABS(MROUND(S95,10)- 145000)*0.1,0),  IF(AND(MROUND(S95,10)&gt; 150000, MROUND(S95,10)&lt;= 250000),  ROUND(500+ ABS(MROUND(S95,10)- 150000)*0.2,0),  IF(MROUND(S95,10)&gt; 250000, ROUND(20500+ABS(MROUND(S95,10)- 250000)*0.3,0),0)))), IF(AND(B95="2008-2009",$U$22&lt;&gt;"Female"), IF(MROUND(S95,10)&lt;= 150000, 0, IF(AND(MROUND(S95,10)&gt; 150000, MROUND(S95,10)&lt;= 300000), ROUND(ABS(MROUND(S95,10)- 150000)*0.1,0), IF(AND(MROUND(S95,10)&gt; 300000, MROUND(S95,10)&lt;= 500000),  ROUND(15000+ ABS(MROUND(S95,10)- 300000)*0.2,0),  IF(MROUND(S95,10)&gt; 500000,  ROUND(55000+ABS(MROUND(S95,10)- 500000)*0.3,0),0)))), IF(AND(B95="2008-2009",$U$22="Female"), IF(MROUND(S95,10)&lt;= 180000, 0, IF(AND(MROUND(S95,10)&gt; 180000, MROUND(S95,10)&lt;= 300000), ROUND(ABS(MROUND(S95,10)- 180000)*0.1,0), IF(AND(MROUND(S95,10)&gt; 300000, MROUND(S95,10)&lt;= 500000), ROUND(12000+ ABS(MROUND(S95,10)- 300000)*0.2,0),  IF(MROUND(S95,10)&gt; 500000,  ROUND(52000+ABS(MROUND(S95,10)- 500000)*0.3,0),0)))), IF(AND(B95="2009-2010", $U$22&lt;&gt;"Female"), IF(MROUND(S95,10)&lt;= 160000, 0, IF(AND(MROUND(S95,10)&gt; 160000, MROUND(S95,10)&lt;= 300000),ROUND(ABS(MROUND(S95,10)- 160000)*0.1,0), IF(AND(MROUND(S95,10)&gt; 300000, MROUND(S95,10)&lt;= 500000),ROUND(14000+ ABS(MROUND(S95,10)- 300000)*0.2,0),  IF(MROUND(S95,10)&gt; 500000, ROUND(54000+ABS(MROUND(S95,10)- 500000)*0.3,0),0)))),IF(AND(B95="2009-2010",$U$22="Female"), IF(MROUND(S95,10)&lt;= 190000, 0, IF(AND(MROUND(S95,10)&gt; 190000, MROUND(S95,10)&lt;= 300000),ROUND(ABS(MROUND(S95,10)- 190000)*0.1,0), IF(AND(MROUND(S95,10)&gt; 300000, MROUND(S95,10)&lt;= 500000), ROUND(11000+ ABS(MROUND(S95,10)- 300000)*0.2,0),IF(MROUND(S95,10)&gt; 500000,  ROUND(51000+ABS(MROUND(S95,10)- 500000)*0.3,0),0)))), IF(AND(B95="2010-2011",$U$22&lt;&gt;"Female"), IF(MROUND(S95,10)&lt;= 160000, 0, IF(AND(MROUND(S95,10)&gt; 160000, MROUND(S95,10)&lt;= 500000), ROUND(ABS(MROUND(S95,10)- 160000)*0.1,0), IF(AND(MROUND(S95,10)&gt; 500000, MROUND(S95,10)&lt;= 800000), ROUND(34000+ ABS(MROUND(S95,10)- 500000)*0.2,0),  IF(MROUND(S95,10)&gt; 800000,  ROUND(94000+ABS(MROUND(S95,10)- 800000)*0.3,0),0)))), IF(AND(OR(B95="2010-2011",B95="2011-2012"),$U$22="Female"), IF(MROUND(S95,10)&lt;= 190000, 0, IF(AND(MROUND(S95,10)&gt; 190000, MROUND(S95,10)&lt;= 500000), ROUND(ABS(MROUND(S95,10)- 190000)*0.1,0), IF(AND(MROUND(S95,10)&gt; 500000, MROUND(S95,10)&lt;= 800000),  ROUND(31000+ ABS(MROUND(S95,10)- 500000)*0.2,0),  IF(MROUND(S95,10)&gt; 800000,  ROUND(91000+ABS(MROUND(S95,10)- 800000)*0.3,0),0)))), IF(AND(B95="2011-2012", $U$22&lt;&gt;"Female"), IF(MROUND(S95,10)&lt;= 180000, 0, IF(AND(MROUND(S95,10)&gt; 180000, MROUND(S95,10)&lt;= 500000), ROUND(ABS(MROUND(S95,10)- 180000)*0.1,0), IF(AND(MROUND(S95,10)&gt; 500000, MROUND(S95,10)&lt;= 800000),  ROUND(32000+ ABS(MROUND(S95,10)- 500000)*0.2,0),  IF(MROUND(S95,10)&gt; 800000,  ROUND(92000+ABS(MROUND(S95,10)- 800000)*0.3,0),0)))), IF(OR(B95="2012-2013",B95="2013-2014"), IF(MROUND(S95,10)&lt;= 200000, 0, IF(AND(MROUND(S95,10)&gt; 200000, MROUND(S95,10)&lt;= 500000), ROUND(ABS(MROUND(S95,10)- 200000)*0.1,0), IF(AND(MROUND(S95,10)&gt; 500000, MROUND(S95,10)&lt;= 1000000),  ROUND(30000+ ABS(MROUND(S95,10)- 500000)*0.2,0),  IF(MROUND(S95,10)&gt; 1000000,  ROUND(130000+ABS(MROUND(S95,10)- 1000000)*0.3,0),0)))), IF(OR(B95="2014-2015", B95="2015-2016",B95="2016-2017"), IF(MROUND(S95,10)&lt;= 250000, 0, IF(AND(MROUND(S95,10)&gt; 250000, MROUND(S95,10)&lt;= 500000), ROUND(ABS(MROUND(S95,10)- 250000)*0.1,0), IF(AND(MROUND(S95,10)&gt; 500000, MROUND(S95,10)&lt;= 1000000),  ROUND(25000+ ABS(MROUND(S95,10)- 500000)*0.2,0),  IF(MROUND(S95,10)&gt; 1000000,  ROUND(125000+ABS(MROUND(S95,10)- 1000000)*0.3,0), 0)))),IF(OR(B95="2017-2018",B95="2018-2019",B95="2019-2020",AND(B95="2020-2021",'Basic Information'!$AG$12="No"),AND(B95="2021-2022",'Basic Information'!$AG$15="No"),AND(B95="2022-2023",'Basic Information'!$AG$18="No"),AND(B95="2023-2024",'Basic Information'!$AG$21="Yes"),AND(B95="2024-2025",'Basic Information'!$AG$24="Yes")), IF(MROUND(S95,10)&lt;= 250000, 0, IF(AND(MROUND(S95,10)&gt; 250000, MROUND(S95,10)&lt;= 500000), ROUND(ABS(MROUND(S95,10)- 250000)*0.05,0), IF(AND(MROUND(S95,10)&gt; 500000, MROUND(S95,10)&lt;= 1000000),  ROUND(12500+ ABS(MROUND(S95,10)- 500000)*0.2,0),  IF(MROUND(S95,10)&gt; 1000000,  ROUND(112500+ABS(MROUND(S95,10)- 1000000)*0.3,0), 0)))),IF(OR(AND(B95="2020-2021",'Basic Information'!$AG$12="Yes"),AND(B95="2021-2022",'Basic Information'!$AG$15="Yes"),AND(B95="2022-2023",'Basic Information'!$AG$18="Yes")), IF(MROUND(S95,10)&lt;= 250000, 0, IF(AND(MROUND(S95,10)&gt; 250000, MROUND(S95,10)&lt;= 500000), ROUND(ABS(MROUND(S95,10)- 250000)*0.05,0), IF(AND(MROUND(S95,10)&gt; 500000, MROUND(S95,10)&lt;= 750000),  ROUND(12500+ ABS(MROUND(S95,10)- 500000)*0.1,0), IF(AND(MROUND(S95,10)&gt; 750000, MROUND(S95,10)&lt;= 1000000),  ROUND(37500+ ABS(MROUND(S95,10)- 750000)*0.15,0),IF(AND(MROUND(S95,10)&gt; 1000000, MROUND(S95,10)&lt;= 1250000),  ROUND(75000+ ABS(MROUND(S95,10)- 1000000)*0.2,0),IF(AND(MROUND(S95,10)&gt; 1250000, MROUND(S95,10)&lt;= 1500000),  ROUND(125000+ ABS(MROUND(S95,10)- 1250000)*0.25,0), IF(MROUND(S95,10)&gt; 1500000,  ROUND(187500+ABS(MROUND(S95,10)- 1500000)*0.3,0), 0))))))),IF(AND(B95="2023-2024",'Basic Information'!$AG$21="No"), IF(MROUND(S95,10)&lt;= 300000, 0, IF(AND(MROUND(S95,10)&gt; 300000, MROUND(S95,10)&lt;= 600000), ROUND(ABS(MROUND(S95,10)- 300000)*0.05,0), IF(AND(MROUND(S95,10)&gt; 600000, MROUND(S95,10)&lt;= 900000),  ROUND(15000+ ABS(MROUND(S95,10)- 600000)*0.1,0), IF(AND(MROUND(S95,10)&gt; 900000, MROUND(S95,10)&lt;= 1200000),  ROUND(45000+ ABS(MROUND(S95,10)- 900000)*0.15,0),IF(AND(MROUND(S95,10)&gt; 1200000, MROUND(S95,10)&lt;= 1500000),  ROUND(90000+ ABS(MROUND(S95,10)- 1200000)*0.2,0), IF(MROUND(S95,10)&gt; 1500000,  ROUND(150000+ABS(MROUND(S95,10)- 1500000)*0.3,0), 0)))))),IF(AND(B95="2024-2025",'Basic Information'!$AG$24="No"), IF(MROUND(S95,10)&lt;= 300000, 0, IF(AND(MROUND(S95,10)&gt; 300000, MROUND(S95,10)&lt;= 700000), ROUND(ABS(MROUND(S95,10)- 300000)*0.05,0), IF(AND(MROUND(S95,10)&gt; 700000, MROUND(S95,10)&lt;= 1000000),  ROUND(20000+ ABS(MROUND(S95,10)- 700000)*0.1,0), IF(AND(MROUND(S95,10)&gt; 1000000, MROUND(S95,10)&lt;= 1200000),  ROUND(50000+ ABS(MROUND(S95,10)- 1000000)*0.15,0),IF(AND(MROUND(S95,10)&gt; 1200000, MROUND(S95,10)&lt;= 1500000),  ROUND(80000+ ABS(MROUND(S95,10)- 1200000)*0.2,0), IF(MROUND(S95,10)&gt; 1500000,  ROUND(140000+ABS(MROUND(S95,10)- 1500000)*0.3,0), 0)))))),0)))))))))))))))))</f>
        <v>0</v>
      </c>
      <c r="AY95" s="6">
        <f>IF(OR(B95="2013-2014",B95="2014-2015",B95="2015-2016"),IF(AND(MROUND(S95,10)&lt;=500000,MROUND(S95,10)&lt;&gt;0),IF(AX95&lt;=2000, AX95,2000),0), IF(B95="2016-2017",IF(AND(MROUND(S95,10)&lt;=500000, MROUND(S95,10)&lt;&gt;0),IF(AX95&lt;=5000, AX95,5000),0), IF(OR(B95="2017-2018",B95="2018-2019"),IF(AND(MROUND(S95,10)&lt;=350000,MROUND(S95,10)&lt;&gt;0),IF(AX95&lt;=2500, AX95,2500),0), IF(OR(B95="2019-2020",B95="2020-2021",B95="2021-2022",B95="2022-2023",AND(B95="2023-2024",'Basic Information'!$AG$21="Yes"),AND(B95="2024-2025",'Basic Information'!$AG$24="Yes")),IF(AND(MROUND(S95,10)&lt;=500000,MROUND(S95,10)&lt;&gt;0),IF(AX95&lt;=12500, AX95,12500),0), IF(OR(AND(B95="2023-2024",'Basic Information'!$AG$21="No")),IF(AND(MROUND(S95,10)&lt;=700000,MROUND(S95,10)&lt;&gt;0),IF(AX95&lt;=25000, AX95,25000),IF(AND(MROUND(S95,10)&lt;&gt;0,(MROUND(S95,10)-700000)&lt;= AX95), AX95-(MROUND(S95,10)-700000),0)), IF(OR(AND(B95="2024-2025",'Basic Information'!$AG$24="No")),IF(AND(MROUND(S95,10)&lt;=700000,MROUND(S95,10)&lt;&gt;0),IF(AX95&lt;=20000, AX95,20000),IF(AND(MROUND(S95,10)&lt;&gt;0,(MROUND(S95,10)-700000)&lt;= AX95), AX95-(MROUND(S95,10)-700000),0)),0))))))</f>
        <v>0</v>
      </c>
      <c r="AZ95" s="6">
        <f t="shared" si="0"/>
        <v>0</v>
      </c>
      <c r="BA95" s="6">
        <f t="shared" si="7"/>
        <v>0</v>
      </c>
    </row>
    <row r="96" spans="2:53" x14ac:dyDescent="0.3">
      <c r="B96" s="452"/>
      <c r="C96" s="453"/>
      <c r="D96" s="453"/>
      <c r="E96" s="453"/>
      <c r="F96" s="454"/>
      <c r="G96" s="455"/>
      <c r="H96" s="456"/>
      <c r="I96" s="456"/>
      <c r="J96" s="456"/>
      <c r="K96" s="456"/>
      <c r="L96" s="457"/>
      <c r="M96" s="455"/>
      <c r="N96" s="456"/>
      <c r="O96" s="456"/>
      <c r="P96" s="456"/>
      <c r="Q96" s="456"/>
      <c r="R96" s="457"/>
      <c r="S96" s="458">
        <f t="shared" si="1"/>
        <v>0</v>
      </c>
      <c r="T96" s="459"/>
      <c r="U96" s="459"/>
      <c r="V96" s="459"/>
      <c r="W96" s="459"/>
      <c r="X96" s="460"/>
      <c r="Y96" s="458">
        <f t="shared" si="2"/>
        <v>0</v>
      </c>
      <c r="Z96" s="459"/>
      <c r="AA96" s="459"/>
      <c r="AB96" s="459"/>
      <c r="AC96" s="459"/>
      <c r="AD96" s="460"/>
      <c r="AE96" s="458">
        <f t="shared" si="3"/>
        <v>0</v>
      </c>
      <c r="AF96" s="459"/>
      <c r="AG96" s="459"/>
      <c r="AH96" s="459"/>
      <c r="AI96" s="459"/>
      <c r="AJ96" s="461"/>
      <c r="AK96" s="462">
        <f t="shared" si="4"/>
        <v>0</v>
      </c>
      <c r="AL96" s="463"/>
      <c r="AM96" s="463"/>
      <c r="AN96" s="463"/>
      <c r="AO96" s="463"/>
      <c r="AP96" s="464"/>
      <c r="AQ96" s="36" t="str">
        <f t="shared" si="8"/>
        <v/>
      </c>
      <c r="AT96" s="6">
        <f>IF( AND(OR(B96="2005-2006",B96="2006-2007"),$U$22&lt;&gt;"Female"),IF( MROUND(G96,10)&lt;= 100000, 0, IF(AND(MROUND(G96,10)&gt; 100000,MROUND(G96,10)&lt;= 150000),  ROUND(ABS(MROUND(G96,10)- 100000)*0.1,0), IF(AND(MROUND(G96,10)&gt; 150000, MROUND(G96,10)&lt;= 250000), ROUND(5000+ ABS(MROUND(G96,10)- 150000)*0.2,0),IF(MROUND(G96,10)&gt; 250000,  ROUND(25000+ABS(MROUND(G96,10)- 250000)*0.3,0),  0)))),IF(AND(OR(B96="2005-2006",B96="2006-2007"),$U$22="Female"),IF(MROUND(G96,10)&lt;= 135000, 0, IF(AND(MROUND(G96,10)&gt; 135000, MROUND(G96,10)&lt;= 150000), ROUND(ABS(MROUND(G96,10)- 135000)*0.1,0), IF(AND(MROUND(G96,10)&gt; 150000, MROUND(G96,10)&lt;= 250000), ROUND(1500+ ABS(MROUND(G96,10)- 150000)*0.2,0),  IF(MROUND(G96,10)&gt; 250000, ROUND(21500+ABS(MROUND(G96,10)- 250000)*0.3,0),0)))),IF(AND(B96="2007-2008",$U$22&lt;&gt;"Female"), IF(MROUND(G96,10)&lt;= 110000,  0,  IF(AND(MROUND(G96,10)&gt; 110000, MROUND(G96,10)&lt;= 150000), ROUND(ABS(MROUND(G96,10)- 110000)*0.1,0),  IF(AND(MROUND(G96,10)&gt; 150000, MROUND(G96,10)&lt;= 250000),  ROUND(4000+ ABS(MROUND(G96,10)- 150000)*0.2,0),   IF(MROUND(G96,10)&gt; 250000,   ROUND(24000+ABS(MROUND(G96,10)- 250000)*0.3,0),0)))),IF(AND(B96="2007-2008",$U$22="Female"), IF(MROUND(G96,10)&lt;= 145000, 0, IF(AND(MROUND(G96,10)&gt; 145000, MROUND(G96,10)&lt;= 150000),     ROUND(ABS(MROUND(G96,10)- 145000)*0.1,0),  IF(AND(MROUND(G96,10)&gt; 150000, MROUND(G96,10)&lt;= 250000),  ROUND(500+ ABS(MROUND(G96,10)- 150000)*0.2,0),  IF(MROUND(G96,10)&gt; 250000, ROUND(20500+ABS(MROUND(G96,10)- 250000)*0.3,0),0)))), IF(AND(B96="2008-2009",$U$22&lt;&gt;"Female"), IF(MROUND(G96,10)&lt;= 150000, 0, IF(AND(MROUND(G96,10)&gt; 150000, MROUND(G96,10)&lt;= 300000), ROUND(ABS(MROUND(G96,10)- 150000)*0.1,0), IF(AND(MROUND(G96,10)&gt; 300000, MROUND(G96,10)&lt;= 500000),  ROUND(15000+ ABS(MROUND(G96,10)- 300000)*0.2,0),  IF(MROUND(G96,10)&gt; 500000,  ROUND(55000+ABS(MROUND(G96,10)- 500000)*0.3,0),0)))), IF(AND(B96="2008-2009",$U$22="Female"), IF(MROUND(G96,10)&lt;= 180000, 0, IF(AND(MROUND(G96,10)&gt; 180000, MROUND(G96,10)&lt;= 300000), ROUND(ABS(MROUND(G96,10)- 180000)*0.1,0), IF(AND(MROUND(G96,10)&gt; 300000, MROUND(G96,10)&lt;= 500000), ROUND(12000+ ABS(MROUND(G96,10)- 300000)*0.2,0),  IF(MROUND(G96,10)&gt; 500000,  ROUND(52000+ABS(MROUND(G96,10)- 500000)*0.3,0),0)))), IF(AND(B96="2009-2010", $U$22&lt;&gt;"Female"), IF(MROUND(G96,10)&lt;= 160000, 0, IF(AND(MROUND(G96,10)&gt; 160000, MROUND(G96,10)&lt;= 300000),ROUND(ABS(MROUND(G96,10)- 160000)*0.1,0), IF(AND(MROUND(G96,10)&gt; 300000, MROUND(G96,10)&lt;= 500000),ROUND(14000+ ABS(MROUND(G96,10)- 300000)*0.2,0),  IF(MROUND(G96,10)&gt; 500000, ROUND(54000+ABS(MROUND(G96,10)- 500000)*0.3,0),0)))),IF(AND(B96="2009-2010",$U$22="Female"), IF(MROUND(G96,10)&lt;= 190000, 0, IF(AND(MROUND(G96,10)&gt; 190000, MROUND(G96,10)&lt;= 300000),ROUND(ABS(MROUND(G96,10)- 190000)*0.1,0), IF(AND(MROUND(G96,10)&gt; 300000, MROUND(G96,10)&lt;= 500000), ROUND(11000+ ABS(MROUND(G96,10)- 300000)*0.2,0),IF(MROUND(G96,10)&gt; 500000,  ROUND(51000+ABS(MROUND(G96,10)- 500000)*0.3,0),0)))), IF(AND(B96="2010-2011",$U$22&lt;&gt;"Female"), IF(MROUND(G96,10)&lt;= 160000, 0, IF(AND(MROUND(G96,10)&gt; 160000, MROUND(G96,10)&lt;= 500000), ROUND(ABS(MROUND(G96,10)- 160000)*0.1,0), IF(AND(MROUND(G96,10)&gt; 500000, MROUND(G96,10)&lt;= 800000), ROUND(34000+ ABS(MROUND(G96,10)- 500000)*0.2,0),  IF(MROUND(G96,10)&gt; 800000,  ROUND(94000+ABS(MROUND(G96,10)- 800000)*0.3,0),0)))), IF(AND(OR(B96="2010-2011",B96="2011-2012"),$U$22="Female"), IF(MROUND(G96,10)&lt;= 190000, 0, IF(AND(MROUND(G96,10)&gt; 190000, MROUND(G96,10)&lt;= 500000), ROUND(ABS(MROUND(G96,10)- 190000)*0.1,0), IF(AND(MROUND(G96,10)&gt; 500000, MROUND(G96,10)&lt;= 800000),  ROUND(31000+ ABS(MROUND(G96,10)- 500000)*0.2,0),  IF(MROUND(G96,10)&gt; 800000,  ROUND(91000+ABS(MROUND(G96,10)- 800000)*0.3,0),0)))), IF(AND(B96="2011-2012", $U$22&lt;&gt;"Female"), IF(MROUND(G96,10)&lt;= 180000, 0, IF(AND(MROUND(G96,10)&gt; 180000, MROUND(G96,10)&lt;= 500000), ROUND(ABS(MROUND(G96,10)- 180000)*0.1,0), IF(AND(MROUND(G96,10)&gt; 500000, MROUND(G96,10)&lt;= 800000),  ROUND(32000+ ABS(MROUND(G96,10)- 500000)*0.2,0),  IF(MROUND(G96,10)&gt; 800000,  ROUND(92000+ABS(MROUND(G96,10)- 800000)*0.3,0),0)))), IF(OR(B96="2012-2013",B96="2013-2014"), IF(MROUND(G96,10)&lt;= 200000, 0, IF(AND(MROUND(G96,10)&gt; 200000, MROUND(G96,10)&lt;= 500000), ROUND(ABS(MROUND(G96,10)- 200000)*0.1,0), IF(AND(MROUND(G96,10)&gt; 500000, MROUND(G96,10)&lt;= 1000000),  ROUND(30000+ ABS(MROUND(G96,10)- 500000)*0.2,0),  IF(MROUND(G96,10)&gt; 1000000,  ROUND(130000+ABS(MROUND(G96,10)- 1000000)*0.3,0),0)))), IF(OR(B96="2014-2015", B96="2015-2016",B96="2016-2017"), IF(MROUND(G96,10)&lt;= 250000, 0, IF(AND(MROUND(G96,10)&gt; 250000, MROUND(G96,10)&lt;= 500000), ROUND(ABS(MROUND(G96,10)- 250000)*0.1,0), IF(AND(MROUND(G96,10)&gt; 500000, MROUND(G96,10)&lt;= 1000000),  ROUND(25000+ ABS(MROUND(G96,10)- 500000)*0.2,0),  IF(MROUND(G96,10)&gt; 1000000,  ROUND(125000+ABS(MROUND(G96,10)- 1000000)*0.3,0), 0)))), IF(OR(B96="2017-2018",B96="2018-2019",B96="2019-2020",AND(B96="2020-2021",'Basic Information'!$AG$12="No"),AND(B96="2021-2022",'Basic Information'!$AG$15="No"),AND(B96="2022-2023",'Basic Information'!$AG$18="No"),AND(B96="2023-2024",'Basic Information'!$AG$21="Yes"),AND(B96="2024-2025",'Basic Information'!$AG$24="Yes")), IF(MROUND(G96,10)&lt;= 250000, 0, IF(AND(MROUND(G96,10)&gt; 250000, MROUND(G96,10)&lt;= 500000), ROUND(ABS(MROUND(G96,10)- 250000)*0.05,0), IF(AND(MROUND(G96,10)&gt; 500000, MROUND(G96,10)&lt;= 1000000),  ROUND(12500+ ABS(MROUND(G96,10)- 500000)*0.2,0),  IF(MROUND(G96,10)&gt; 1000000,  ROUND(112500+ABS(MROUND(G96,10)- 1000000)*0.3,0), 0)))),IF(OR(AND(B96="2020-2021",'Basic Information'!$AG$12="Yes"),AND(B96="2021-2022",'Basic Information'!$AG$15="Yes"),AND(B96="2022-2023",'Basic Information'!$AG$18="Yes")), IF(MROUND(G96,10)&lt;= 250000, 0, IF(AND(MROUND(G96,10)&gt; 250000, MROUND(G96,10)&lt;= 500000), ROUND(ABS(MROUND(G96,10)- 250000)*0.05,0), IF(AND(MROUND(G96,10)&gt; 500000, MROUND(G96,10)&lt;= 750000),  ROUND(12500+ ABS(MROUND(G96,10)- 500000)*0.1,0), IF(AND(MROUND(G96,10)&gt; 750000, MROUND(G96,10)&lt;= 1000000),  ROUND(37500+ ABS(MROUND(G96,10)- 750000)*0.15,0),IF(AND(MROUND(G96,10)&gt; 1000000, MROUND(G96,10)&lt;= 1250000),  ROUND(75000+ ABS(MROUND(G96,10)- 1000000)*0.2,0),IF(AND(MROUND(G96,10)&gt; 1250000, MROUND(G96,10)&lt;= 1500000),  ROUND(125000+ ABS(MROUND(G96,10)- 1250000)*0.25,0), IF(MROUND(G96,10)&gt; 1500000,  ROUND(187500+ABS(MROUND(G96,10)- 1500000)*0.3,0), 0))))))),IF(AND(B96="2023-2024",'Basic Information'!$AG$21="No"), IF(MROUND(G96,10)&lt;= 300000, 0, IF(AND(MROUND(G96,10)&gt; 300000, MROUND(G96,10)&lt;= 600000), ROUND(ABS(MROUND(G96,10)- 300000)*0.05,0), IF(AND(MROUND(G96,10)&gt; 600000, MROUND(G96,10)&lt;= 900000),  ROUND(15000+ ABS(MROUND(G96,10)- 600000)*0.1,0), IF(AND(MROUND(G96,10)&gt; 900000, MROUND(G96,10)&lt;= 1200000),  ROUND(45000+ ABS(MROUND(G96,10)- 900000)*0.15,0),IF(AND(MROUND(G96,10)&gt; 1200000, MROUND(G96,10)&lt;= 1500000),  ROUND(90000+ ABS(MROUND(G96,10)- 1200000)*0.2,0), IF(MROUND(G96,10)&gt; 1500000,  ROUND(150000+ABS(MROUND(G96,10)- 1500000)*0.3,0), 0)))))),IF(AND(B96="2024-2025",'Basic Information'!$AG$24="No"), IF(MROUND(G96,10)&lt;= 300000, 0, IF(AND(MROUND(G96,10)&gt; 300000, MROUND(G96,10)&lt;= 700000), ROUND(ABS(MROUND(G96,10)- 300000)*0.05,0), IF(AND(MROUND(G96,10)&gt; 700000, MROUND(G96,10)&lt;= 1000000),  ROUND(20000+ ABS(MROUND(G96,10)- 700000)*0.1,0), IF(AND(MROUND(G96,10)&gt; 1000000, MROUND(G96,10)&lt;= 1200000),  ROUND(50000+ ABS(MROUND(G96,10)- 1000000)*0.15,0),IF(AND(MROUND(G96,10)&gt; 1200000, MROUND(G96,10)&lt;= 1500000),  ROUND(80000+ ABS(MROUND(G96,10)- 1200000)*0.2,0), IF(MROUND(G96,10)&gt; 1500000,  ROUND(140000+ABS(MROUND(G96,10)- 1500000)*0.3,0), 0)))))),0)))))))))))))))))</f>
        <v>0</v>
      </c>
      <c r="AU96" s="6">
        <f>IF(OR(B96="2013-2014",B96="2014-2015",B96="2015-2016"),IF(AND(MROUND(G96,10)&lt;=500000,MROUND(G96,10)&lt;&gt;0),IF(AT96&lt;=2000, AT96,2000),0), IF(B96="2016-2017",IF(AND(MROUND(G96,10)&lt;=500000,MROUND(G96,10)&lt;&gt;0),IF(AT96&lt;=5000, AT96,5000),0), IF(OR(B96="2017-2018",B96="2018-2019"),IF(AND(MROUND(G96,10)&lt;=350000,MROUND(G96,10)&lt;&gt;0),IF(AT96&lt;=2500, AT96,2500),0), IF(OR(B96="2019-2020",B96="2020-2021",B96="2021-2022",B96="2022-2023",AND(B96="2023-2024",'Basic Information'!$AG$21="Yes"),AND(B96="2024-2025",'Basic Information'!$AG$24="Yes")),IF(AND(MROUND(G96,10)&lt;=500000,MROUND(G96,10)&lt;&gt;0),IF(AT96&lt;=12500, AT96,12500),0), IF(OR(AND(B96="2023-2024",'Basic Information'!$AG$21="No")),IF(AND(MROUND(G96,10)&lt;=700000,MROUND(G96,10)&lt;&gt;0),IF(AT96&lt;=25000, AT96,25000),IF(AND(MROUND(G96,10)&lt;&gt;0,(MROUND(G96,10)-700000)&lt;=AT96),AT96-(MROUND(G96,10)-700000),0)), IF(OR(AND(B96="2024-2025",'Basic Information'!$AG$24="No")),IF(AND(MROUND(G96,10)&lt;=700000,MROUND(G96,10)&lt;&gt;0),IF(AT96&lt;=20000, AT96,20000),IF(AND(MROUND(G96,10)&lt;&gt;0,(MROUND(G96,10)-700000)&lt;=AT96),AT96-(MROUND(G96,10)-700000),0)),0))))))</f>
        <v>0</v>
      </c>
      <c r="AV96" s="6">
        <f t="shared" si="5"/>
        <v>0</v>
      </c>
      <c r="AW96" s="6">
        <f t="shared" si="6"/>
        <v>0</v>
      </c>
      <c r="AX96" s="6">
        <f>IF( AND(OR(B96="2005-2006",B96="2006-2007"),$U$22&lt;&gt;"Female"),IF( MROUND(S96,10)&lt;= 100000, 0, IF(AND(MROUND(S96,10)&gt; 100000,MROUND(S96,10)&lt;= 150000),  ROUND(ABS(MROUND(S96,10)- 100000)*0.1,0), IF(AND(MROUND(S96,10)&gt; 150000, MROUND(S96,10)&lt;= 250000), ROUND(5000+ ABS(MROUND(S96,10)- 150000)*0.2,0),IF(MROUND(S96,10)&gt; 250000,  ROUND(25000+ABS(MROUND(S96,10)- 250000)*0.3,0),  0)))),IF(AND(OR(B96="2005-2006",B96="2006-2007"),$U$22="Female"),IF(MROUND(S96,10)&lt;= 135000, 0, IF(AND(MROUND(S96,10)&gt; 135000, MROUND(S96,10)&lt;= 150000), ROUND(ABS(MROUND(S96,10)- 135000)*0.1,0), IF(AND(MROUND(S96,10)&gt; 150000, MROUND(S96,10)&lt;= 250000), ROUND(1500+ ABS(MROUND(S96,10)- 150000)*0.2,0),  IF(MROUND(S96,10)&gt; 250000, ROUND(21500+ABS(MROUND(S96,10)- 250000)*0.3,0),0)))),IF(AND(B96="2007-2008",$U$22&lt;&gt;"Female"), IF(MROUND(S96,10)&lt;= 110000,  0,  IF(AND(MROUND(S96,10)&gt; 110000, MROUND(S96,10)&lt;= 150000),     ROUND(ABS(MROUND(S96,10)- 110000)*0.1,0),  IF(AND(MROUND(S96,10)&gt; 150000, MROUND(S96,10)&lt;= 250000),  ROUND(4000+ ABS(MROUND(S96,10)- 150000)*0.2,0),   IF(MROUND(S96,10)&gt; 250000,   ROUND(24000+ABS(MROUND(S96,10)- 250000)*0.3,0),0)))),IF(AND(B96="2007-2008",$U$22="Female"), IF(MROUND(S96,10)&lt;= 145000, 0, IF(AND(MROUND(S96,10)&gt; 145000, MROUND(S96,10)&lt;= 150000),     ROUND(ABS(MROUND(S96,10)- 145000)*0.1,0),  IF(AND(MROUND(S96,10)&gt; 150000, MROUND(S96,10)&lt;= 250000),  ROUND(500+ ABS(MROUND(S96,10)- 150000)*0.2,0),  IF(MROUND(S96,10)&gt; 250000, ROUND(20500+ABS(MROUND(S96,10)- 250000)*0.3,0),0)))), IF(AND(B96="2008-2009",$U$22&lt;&gt;"Female"), IF(MROUND(S96,10)&lt;= 150000, 0, IF(AND(MROUND(S96,10)&gt; 150000, MROUND(S96,10)&lt;= 300000), ROUND(ABS(MROUND(S96,10)- 150000)*0.1,0), IF(AND(MROUND(S96,10)&gt; 300000, MROUND(S96,10)&lt;= 500000),  ROUND(15000+ ABS(MROUND(S96,10)- 300000)*0.2,0),  IF(MROUND(S96,10)&gt; 500000,  ROUND(55000+ABS(MROUND(S96,10)- 500000)*0.3,0),0)))), IF(AND(B96="2008-2009",$U$22="Female"), IF(MROUND(S96,10)&lt;= 180000, 0, IF(AND(MROUND(S96,10)&gt; 180000, MROUND(S96,10)&lt;= 300000), ROUND(ABS(MROUND(S96,10)- 180000)*0.1,0), IF(AND(MROUND(S96,10)&gt; 300000, MROUND(S96,10)&lt;= 500000), ROUND(12000+ ABS(MROUND(S96,10)- 300000)*0.2,0),  IF(MROUND(S96,10)&gt; 500000,  ROUND(52000+ABS(MROUND(S96,10)- 500000)*0.3,0),0)))), IF(AND(B96="2009-2010", $U$22&lt;&gt;"Female"), IF(MROUND(S96,10)&lt;= 160000, 0, IF(AND(MROUND(S96,10)&gt; 160000, MROUND(S96,10)&lt;= 300000),ROUND(ABS(MROUND(S96,10)- 160000)*0.1,0), IF(AND(MROUND(S96,10)&gt; 300000, MROUND(S96,10)&lt;= 500000),ROUND(14000+ ABS(MROUND(S96,10)- 300000)*0.2,0),  IF(MROUND(S96,10)&gt; 500000, ROUND(54000+ABS(MROUND(S96,10)- 500000)*0.3,0),0)))),IF(AND(B96="2009-2010",$U$22="Female"), IF(MROUND(S96,10)&lt;= 190000, 0, IF(AND(MROUND(S96,10)&gt; 190000, MROUND(S96,10)&lt;= 300000),ROUND(ABS(MROUND(S96,10)- 190000)*0.1,0), IF(AND(MROUND(S96,10)&gt; 300000, MROUND(S96,10)&lt;= 500000), ROUND(11000+ ABS(MROUND(S96,10)- 300000)*0.2,0),IF(MROUND(S96,10)&gt; 500000,  ROUND(51000+ABS(MROUND(S96,10)- 500000)*0.3,0),0)))), IF(AND(B96="2010-2011",$U$22&lt;&gt;"Female"), IF(MROUND(S96,10)&lt;= 160000, 0, IF(AND(MROUND(S96,10)&gt; 160000, MROUND(S96,10)&lt;= 500000), ROUND(ABS(MROUND(S96,10)- 160000)*0.1,0), IF(AND(MROUND(S96,10)&gt; 500000, MROUND(S96,10)&lt;= 800000), ROUND(34000+ ABS(MROUND(S96,10)- 500000)*0.2,0),  IF(MROUND(S96,10)&gt; 800000,  ROUND(94000+ABS(MROUND(S96,10)- 800000)*0.3,0),0)))), IF(AND(OR(B96="2010-2011",B96="2011-2012"),$U$22="Female"), IF(MROUND(S96,10)&lt;= 190000, 0, IF(AND(MROUND(S96,10)&gt; 190000, MROUND(S96,10)&lt;= 500000), ROUND(ABS(MROUND(S96,10)- 190000)*0.1,0), IF(AND(MROUND(S96,10)&gt; 500000, MROUND(S96,10)&lt;= 800000),  ROUND(31000+ ABS(MROUND(S96,10)- 500000)*0.2,0),  IF(MROUND(S96,10)&gt; 800000,  ROUND(91000+ABS(MROUND(S96,10)- 800000)*0.3,0),0)))), IF(AND(B96="2011-2012", $U$22&lt;&gt;"Female"), IF(MROUND(S96,10)&lt;= 180000, 0, IF(AND(MROUND(S96,10)&gt; 180000, MROUND(S96,10)&lt;= 500000), ROUND(ABS(MROUND(S96,10)- 180000)*0.1,0), IF(AND(MROUND(S96,10)&gt; 500000, MROUND(S96,10)&lt;= 800000),  ROUND(32000+ ABS(MROUND(S96,10)- 500000)*0.2,0),  IF(MROUND(S96,10)&gt; 800000,  ROUND(92000+ABS(MROUND(S96,10)- 800000)*0.3,0),0)))), IF(OR(B96="2012-2013",B96="2013-2014"), IF(MROUND(S96,10)&lt;= 200000, 0, IF(AND(MROUND(S96,10)&gt; 200000, MROUND(S96,10)&lt;= 500000), ROUND(ABS(MROUND(S96,10)- 200000)*0.1,0), IF(AND(MROUND(S96,10)&gt; 500000, MROUND(S96,10)&lt;= 1000000),  ROUND(30000+ ABS(MROUND(S96,10)- 500000)*0.2,0),  IF(MROUND(S96,10)&gt; 1000000,  ROUND(130000+ABS(MROUND(S96,10)- 1000000)*0.3,0),0)))), IF(OR(B96="2014-2015", B96="2015-2016",B96="2016-2017"), IF(MROUND(S96,10)&lt;= 250000, 0, IF(AND(MROUND(S96,10)&gt; 250000, MROUND(S96,10)&lt;= 500000), ROUND(ABS(MROUND(S96,10)- 250000)*0.1,0), IF(AND(MROUND(S96,10)&gt; 500000, MROUND(S96,10)&lt;= 1000000),  ROUND(25000+ ABS(MROUND(S96,10)- 500000)*0.2,0),  IF(MROUND(S96,10)&gt; 1000000,  ROUND(125000+ABS(MROUND(S96,10)- 1000000)*0.3,0), 0)))),IF(OR(B96="2017-2018",B96="2018-2019",B96="2019-2020",AND(B96="2020-2021",'Basic Information'!$AG$12="No"),AND(B96="2021-2022",'Basic Information'!$AG$15="No"),AND(B96="2022-2023",'Basic Information'!$AG$18="No"),AND(B96="2023-2024",'Basic Information'!$AG$21="Yes"),AND(B96="2024-2025",'Basic Information'!$AG$24="Yes")), IF(MROUND(S96,10)&lt;= 250000, 0, IF(AND(MROUND(S96,10)&gt; 250000, MROUND(S96,10)&lt;= 500000), ROUND(ABS(MROUND(S96,10)- 250000)*0.05,0), IF(AND(MROUND(S96,10)&gt; 500000, MROUND(S96,10)&lt;= 1000000),  ROUND(12500+ ABS(MROUND(S96,10)- 500000)*0.2,0),  IF(MROUND(S96,10)&gt; 1000000,  ROUND(112500+ABS(MROUND(S96,10)- 1000000)*0.3,0), 0)))),IF(OR(AND(B96="2020-2021",'Basic Information'!$AG$12="Yes"),AND(B96="2021-2022",'Basic Information'!$AG$15="Yes"),AND(B96="2022-2023",'Basic Information'!$AG$18="Yes")), IF(MROUND(S96,10)&lt;= 250000, 0, IF(AND(MROUND(S96,10)&gt; 250000, MROUND(S96,10)&lt;= 500000), ROUND(ABS(MROUND(S96,10)- 250000)*0.05,0), IF(AND(MROUND(S96,10)&gt; 500000, MROUND(S96,10)&lt;= 750000),  ROUND(12500+ ABS(MROUND(S96,10)- 500000)*0.1,0), IF(AND(MROUND(S96,10)&gt; 750000, MROUND(S96,10)&lt;= 1000000),  ROUND(37500+ ABS(MROUND(S96,10)- 750000)*0.15,0),IF(AND(MROUND(S96,10)&gt; 1000000, MROUND(S96,10)&lt;= 1250000),  ROUND(75000+ ABS(MROUND(S96,10)- 1000000)*0.2,0),IF(AND(MROUND(S96,10)&gt; 1250000, MROUND(S96,10)&lt;= 1500000),  ROUND(125000+ ABS(MROUND(S96,10)- 1250000)*0.25,0), IF(MROUND(S96,10)&gt; 1500000,  ROUND(187500+ABS(MROUND(S96,10)- 1500000)*0.3,0), 0))))))),IF(AND(B96="2023-2024",'Basic Information'!$AG$21="No"), IF(MROUND(S96,10)&lt;= 300000, 0, IF(AND(MROUND(S96,10)&gt; 300000, MROUND(S96,10)&lt;= 600000), ROUND(ABS(MROUND(S96,10)- 300000)*0.05,0), IF(AND(MROUND(S96,10)&gt; 600000, MROUND(S96,10)&lt;= 900000),  ROUND(15000+ ABS(MROUND(S96,10)- 600000)*0.1,0), IF(AND(MROUND(S96,10)&gt; 900000, MROUND(S96,10)&lt;= 1200000),  ROUND(45000+ ABS(MROUND(S96,10)- 900000)*0.15,0),IF(AND(MROUND(S96,10)&gt; 1200000, MROUND(S96,10)&lt;= 1500000),  ROUND(90000+ ABS(MROUND(S96,10)- 1200000)*0.2,0), IF(MROUND(S96,10)&gt; 1500000,  ROUND(150000+ABS(MROUND(S96,10)- 1500000)*0.3,0), 0)))))),IF(AND(B96="2024-2025",'Basic Information'!$AG$24="No"), IF(MROUND(S96,10)&lt;= 300000, 0, IF(AND(MROUND(S96,10)&gt; 300000, MROUND(S96,10)&lt;= 700000), ROUND(ABS(MROUND(S96,10)- 300000)*0.05,0), IF(AND(MROUND(S96,10)&gt; 700000, MROUND(S96,10)&lt;= 1000000),  ROUND(20000+ ABS(MROUND(S96,10)- 700000)*0.1,0), IF(AND(MROUND(S96,10)&gt; 1000000, MROUND(S96,10)&lt;= 1200000),  ROUND(50000+ ABS(MROUND(S96,10)- 1000000)*0.15,0),IF(AND(MROUND(S96,10)&gt; 1200000, MROUND(S96,10)&lt;= 1500000),  ROUND(80000+ ABS(MROUND(S96,10)- 1200000)*0.2,0), IF(MROUND(S96,10)&gt; 1500000,  ROUND(140000+ABS(MROUND(S96,10)- 1500000)*0.3,0), 0)))))),0)))))))))))))))))</f>
        <v>0</v>
      </c>
      <c r="AY96" s="6">
        <f>IF(OR(B96="2013-2014",B96="2014-2015",B96="2015-2016"),IF(AND(MROUND(S96,10)&lt;=500000,MROUND(S96,10)&lt;&gt;0),IF(AX96&lt;=2000, AX96,2000),0), IF(B96="2016-2017",IF(AND(MROUND(S96,10)&lt;=500000, MROUND(S96,10)&lt;&gt;0),IF(AX96&lt;=5000, AX96,5000),0), IF(OR(B96="2017-2018",B96="2018-2019"),IF(AND(MROUND(S96,10)&lt;=350000,MROUND(S96,10)&lt;&gt;0),IF(AX96&lt;=2500, AX96,2500),0), IF(OR(B96="2019-2020",B96="2020-2021",B96="2021-2022",B96="2022-2023",AND(B96="2023-2024",'Basic Information'!$AG$21="Yes"),AND(B96="2024-2025",'Basic Information'!$AG$24="Yes")),IF(AND(MROUND(S96,10)&lt;=500000,MROUND(S96,10)&lt;&gt;0),IF(AX96&lt;=12500, AX96,12500),0), IF(OR(AND(B96="2023-2024",'Basic Information'!$AG$21="No")),IF(AND(MROUND(S96,10)&lt;=700000,MROUND(S96,10)&lt;&gt;0),IF(AX96&lt;=25000, AX96,25000),IF(AND(MROUND(S96,10)&lt;&gt;0,(MROUND(S96,10)-700000)&lt;= AX96), AX96-(MROUND(S96,10)-700000),0)), IF(OR(AND(B96="2024-2025",'Basic Information'!$AG$24="No")),IF(AND(MROUND(S96,10)&lt;=700000,MROUND(S96,10)&lt;&gt;0),IF(AX96&lt;=20000, AX96,20000),IF(AND(MROUND(S96,10)&lt;&gt;0,(MROUND(S96,10)-700000)&lt;= AX96), AX96-(MROUND(S96,10)-700000),0)),0))))))</f>
        <v>0</v>
      </c>
      <c r="AZ96" s="6">
        <f t="shared" si="0"/>
        <v>0</v>
      </c>
      <c r="BA96" s="6">
        <f t="shared" si="7"/>
        <v>0</v>
      </c>
    </row>
    <row r="97" spans="2:53" x14ac:dyDescent="0.3">
      <c r="B97" s="452"/>
      <c r="C97" s="453"/>
      <c r="D97" s="453"/>
      <c r="E97" s="453"/>
      <c r="F97" s="454"/>
      <c r="G97" s="455"/>
      <c r="H97" s="456"/>
      <c r="I97" s="456"/>
      <c r="J97" s="456"/>
      <c r="K97" s="456"/>
      <c r="L97" s="457"/>
      <c r="M97" s="455"/>
      <c r="N97" s="456"/>
      <c r="O97" s="456"/>
      <c r="P97" s="456"/>
      <c r="Q97" s="456"/>
      <c r="R97" s="457"/>
      <c r="S97" s="458">
        <f t="shared" si="1"/>
        <v>0</v>
      </c>
      <c r="T97" s="459"/>
      <c r="U97" s="459"/>
      <c r="V97" s="459"/>
      <c r="W97" s="459"/>
      <c r="X97" s="460"/>
      <c r="Y97" s="458">
        <f t="shared" si="2"/>
        <v>0</v>
      </c>
      <c r="Z97" s="459"/>
      <c r="AA97" s="459"/>
      <c r="AB97" s="459"/>
      <c r="AC97" s="459"/>
      <c r="AD97" s="460"/>
      <c r="AE97" s="458">
        <f t="shared" si="3"/>
        <v>0</v>
      </c>
      <c r="AF97" s="459"/>
      <c r="AG97" s="459"/>
      <c r="AH97" s="459"/>
      <c r="AI97" s="459"/>
      <c r="AJ97" s="461"/>
      <c r="AK97" s="462">
        <f t="shared" si="4"/>
        <v>0</v>
      </c>
      <c r="AL97" s="463"/>
      <c r="AM97" s="463"/>
      <c r="AN97" s="463"/>
      <c r="AO97" s="463"/>
      <c r="AP97" s="464"/>
      <c r="AQ97" s="36" t="str">
        <f t="shared" si="8"/>
        <v/>
      </c>
      <c r="AT97" s="6">
        <f>IF( AND(OR(B97="2005-2006",B97="2006-2007"),$U$22&lt;&gt;"Female"),IF( MROUND(G97,10)&lt;= 100000, 0, IF(AND(MROUND(G97,10)&gt; 100000,MROUND(G97,10)&lt;= 150000),  ROUND(ABS(MROUND(G97,10)- 100000)*0.1,0), IF(AND(MROUND(G97,10)&gt; 150000, MROUND(G97,10)&lt;= 250000), ROUND(5000+ ABS(MROUND(G97,10)- 150000)*0.2,0),IF(MROUND(G97,10)&gt; 250000,  ROUND(25000+ABS(MROUND(G97,10)- 250000)*0.3,0),  0)))),IF(AND(OR(B97="2005-2006",B97="2006-2007"),$U$22="Female"),IF(MROUND(G97,10)&lt;= 135000, 0, IF(AND(MROUND(G97,10)&gt; 135000, MROUND(G97,10)&lt;= 150000), ROUND(ABS(MROUND(G97,10)- 135000)*0.1,0), IF(AND(MROUND(G97,10)&gt; 150000, MROUND(G97,10)&lt;= 250000), ROUND(1500+ ABS(MROUND(G97,10)- 150000)*0.2,0),  IF(MROUND(G97,10)&gt; 250000, ROUND(21500+ABS(MROUND(G97,10)- 250000)*0.3,0),0)))),IF(AND(B97="2007-2008",$U$22&lt;&gt;"Female"), IF(MROUND(G97,10)&lt;= 110000,  0,  IF(AND(MROUND(G97,10)&gt; 110000, MROUND(G97,10)&lt;= 150000), ROUND(ABS(MROUND(G97,10)- 110000)*0.1,0),  IF(AND(MROUND(G97,10)&gt; 150000, MROUND(G97,10)&lt;= 250000),  ROUND(4000+ ABS(MROUND(G97,10)- 150000)*0.2,0),   IF(MROUND(G97,10)&gt; 250000,   ROUND(24000+ABS(MROUND(G97,10)- 250000)*0.3,0),0)))),IF(AND(B97="2007-2008",$U$22="Female"), IF(MROUND(G97,10)&lt;= 145000, 0, IF(AND(MROUND(G97,10)&gt; 145000, MROUND(G97,10)&lt;= 150000),     ROUND(ABS(MROUND(G97,10)- 145000)*0.1,0),  IF(AND(MROUND(G97,10)&gt; 150000, MROUND(G97,10)&lt;= 250000),  ROUND(500+ ABS(MROUND(G97,10)- 150000)*0.2,0),  IF(MROUND(G97,10)&gt; 250000, ROUND(20500+ABS(MROUND(G97,10)- 250000)*0.3,0),0)))), IF(AND(B97="2008-2009",$U$22&lt;&gt;"Female"), IF(MROUND(G97,10)&lt;= 150000, 0, IF(AND(MROUND(G97,10)&gt; 150000, MROUND(G97,10)&lt;= 300000), ROUND(ABS(MROUND(G97,10)- 150000)*0.1,0), IF(AND(MROUND(G97,10)&gt; 300000, MROUND(G97,10)&lt;= 500000),  ROUND(15000+ ABS(MROUND(G97,10)- 300000)*0.2,0),  IF(MROUND(G97,10)&gt; 500000,  ROUND(55000+ABS(MROUND(G97,10)- 500000)*0.3,0),0)))), IF(AND(B97="2008-2009",$U$22="Female"), IF(MROUND(G97,10)&lt;= 180000, 0, IF(AND(MROUND(G97,10)&gt; 180000, MROUND(G97,10)&lt;= 300000), ROUND(ABS(MROUND(G97,10)- 180000)*0.1,0), IF(AND(MROUND(G97,10)&gt; 300000, MROUND(G97,10)&lt;= 500000), ROUND(12000+ ABS(MROUND(G97,10)- 300000)*0.2,0),  IF(MROUND(G97,10)&gt; 500000,  ROUND(52000+ABS(MROUND(G97,10)- 500000)*0.3,0),0)))), IF(AND(B97="2009-2010", $U$22&lt;&gt;"Female"), IF(MROUND(G97,10)&lt;= 160000, 0, IF(AND(MROUND(G97,10)&gt; 160000, MROUND(G97,10)&lt;= 300000),ROUND(ABS(MROUND(G97,10)- 160000)*0.1,0), IF(AND(MROUND(G97,10)&gt; 300000, MROUND(G97,10)&lt;= 500000),ROUND(14000+ ABS(MROUND(G97,10)- 300000)*0.2,0),  IF(MROUND(G97,10)&gt; 500000, ROUND(54000+ABS(MROUND(G97,10)- 500000)*0.3,0),0)))),IF(AND(B97="2009-2010",$U$22="Female"), IF(MROUND(G97,10)&lt;= 190000, 0, IF(AND(MROUND(G97,10)&gt; 190000, MROUND(G97,10)&lt;= 300000),ROUND(ABS(MROUND(G97,10)- 190000)*0.1,0), IF(AND(MROUND(G97,10)&gt; 300000, MROUND(G97,10)&lt;= 500000), ROUND(11000+ ABS(MROUND(G97,10)- 300000)*0.2,0),IF(MROUND(G97,10)&gt; 500000,  ROUND(51000+ABS(MROUND(G97,10)- 500000)*0.3,0),0)))), IF(AND(B97="2010-2011",$U$22&lt;&gt;"Female"), IF(MROUND(G97,10)&lt;= 160000, 0, IF(AND(MROUND(G97,10)&gt; 160000, MROUND(G97,10)&lt;= 500000), ROUND(ABS(MROUND(G97,10)- 160000)*0.1,0), IF(AND(MROUND(G97,10)&gt; 500000, MROUND(G97,10)&lt;= 800000), ROUND(34000+ ABS(MROUND(G97,10)- 500000)*0.2,0),  IF(MROUND(G97,10)&gt; 800000,  ROUND(94000+ABS(MROUND(G97,10)- 800000)*0.3,0),0)))), IF(AND(OR(B97="2010-2011",B97="2011-2012"),$U$22="Female"), IF(MROUND(G97,10)&lt;= 190000, 0, IF(AND(MROUND(G97,10)&gt; 190000, MROUND(G97,10)&lt;= 500000), ROUND(ABS(MROUND(G97,10)- 190000)*0.1,0), IF(AND(MROUND(G97,10)&gt; 500000, MROUND(G97,10)&lt;= 800000),  ROUND(31000+ ABS(MROUND(G97,10)- 500000)*0.2,0),  IF(MROUND(G97,10)&gt; 800000,  ROUND(91000+ABS(MROUND(G97,10)- 800000)*0.3,0),0)))), IF(AND(B97="2011-2012", $U$22&lt;&gt;"Female"), IF(MROUND(G97,10)&lt;= 180000, 0, IF(AND(MROUND(G97,10)&gt; 180000, MROUND(G97,10)&lt;= 500000), ROUND(ABS(MROUND(G97,10)- 180000)*0.1,0), IF(AND(MROUND(G97,10)&gt; 500000, MROUND(G97,10)&lt;= 800000),  ROUND(32000+ ABS(MROUND(G97,10)- 500000)*0.2,0),  IF(MROUND(G97,10)&gt; 800000,  ROUND(92000+ABS(MROUND(G97,10)- 800000)*0.3,0),0)))), IF(OR(B97="2012-2013",B97="2013-2014"), IF(MROUND(G97,10)&lt;= 200000, 0, IF(AND(MROUND(G97,10)&gt; 200000, MROUND(G97,10)&lt;= 500000), ROUND(ABS(MROUND(G97,10)- 200000)*0.1,0), IF(AND(MROUND(G97,10)&gt; 500000, MROUND(G97,10)&lt;= 1000000),  ROUND(30000+ ABS(MROUND(G97,10)- 500000)*0.2,0),  IF(MROUND(G97,10)&gt; 1000000,  ROUND(130000+ABS(MROUND(G97,10)- 1000000)*0.3,0),0)))), IF(OR(B97="2014-2015", B97="2015-2016",B97="2016-2017"), IF(MROUND(G97,10)&lt;= 250000, 0, IF(AND(MROUND(G97,10)&gt; 250000, MROUND(G97,10)&lt;= 500000), ROUND(ABS(MROUND(G97,10)- 250000)*0.1,0), IF(AND(MROUND(G97,10)&gt; 500000, MROUND(G97,10)&lt;= 1000000),  ROUND(25000+ ABS(MROUND(G97,10)- 500000)*0.2,0),  IF(MROUND(G97,10)&gt; 1000000,  ROUND(125000+ABS(MROUND(G97,10)- 1000000)*0.3,0), 0)))), IF(OR(B97="2017-2018",B97="2018-2019",B97="2019-2020",AND(B97="2020-2021",'Basic Information'!$AG$12="No"),AND(B97="2021-2022",'Basic Information'!$AG$15="No"),AND(B97="2022-2023",'Basic Information'!$AG$18="No"),AND(B97="2023-2024",'Basic Information'!$AG$21="Yes"),AND(B97="2024-2025",'Basic Information'!$AG$24="Yes")), IF(MROUND(G97,10)&lt;= 250000, 0, IF(AND(MROUND(G97,10)&gt; 250000, MROUND(G97,10)&lt;= 500000), ROUND(ABS(MROUND(G97,10)- 250000)*0.05,0), IF(AND(MROUND(G97,10)&gt; 500000, MROUND(G97,10)&lt;= 1000000),  ROUND(12500+ ABS(MROUND(G97,10)- 500000)*0.2,0),  IF(MROUND(G97,10)&gt; 1000000,  ROUND(112500+ABS(MROUND(G97,10)- 1000000)*0.3,0), 0)))),IF(OR(AND(B97="2020-2021",'Basic Information'!$AG$12="Yes"),AND(B97="2021-2022",'Basic Information'!$AG$15="Yes"),AND(B97="2022-2023",'Basic Information'!$AG$18="Yes")), IF(MROUND(G97,10)&lt;= 250000, 0, IF(AND(MROUND(G97,10)&gt; 250000, MROUND(G97,10)&lt;= 500000), ROUND(ABS(MROUND(G97,10)- 250000)*0.05,0), IF(AND(MROUND(G97,10)&gt; 500000, MROUND(G97,10)&lt;= 750000),  ROUND(12500+ ABS(MROUND(G97,10)- 500000)*0.1,0), IF(AND(MROUND(G97,10)&gt; 750000, MROUND(G97,10)&lt;= 1000000),  ROUND(37500+ ABS(MROUND(G97,10)- 750000)*0.15,0),IF(AND(MROUND(G97,10)&gt; 1000000, MROUND(G97,10)&lt;= 1250000),  ROUND(75000+ ABS(MROUND(G97,10)- 1000000)*0.2,0),IF(AND(MROUND(G97,10)&gt; 1250000, MROUND(G97,10)&lt;= 1500000),  ROUND(125000+ ABS(MROUND(G97,10)- 1250000)*0.25,0), IF(MROUND(G97,10)&gt; 1500000,  ROUND(187500+ABS(MROUND(G97,10)- 1500000)*0.3,0), 0))))))),IF(AND(B97="2023-2024",'Basic Information'!$AG$21="No"), IF(MROUND(G97,10)&lt;= 300000, 0, IF(AND(MROUND(G97,10)&gt; 300000, MROUND(G97,10)&lt;= 600000), ROUND(ABS(MROUND(G97,10)- 300000)*0.05,0), IF(AND(MROUND(G97,10)&gt; 600000, MROUND(G97,10)&lt;= 900000),  ROUND(15000+ ABS(MROUND(G97,10)- 600000)*0.1,0), IF(AND(MROUND(G97,10)&gt; 900000, MROUND(G97,10)&lt;= 1200000),  ROUND(45000+ ABS(MROUND(G97,10)- 900000)*0.15,0),IF(AND(MROUND(G97,10)&gt; 1200000, MROUND(G97,10)&lt;= 1500000),  ROUND(90000+ ABS(MROUND(G97,10)- 1200000)*0.2,0), IF(MROUND(G97,10)&gt; 1500000,  ROUND(150000+ABS(MROUND(G97,10)- 1500000)*0.3,0), 0)))))),IF(AND(B97="2024-2025",'Basic Information'!$AG$24="No"), IF(MROUND(G97,10)&lt;= 300000, 0, IF(AND(MROUND(G97,10)&gt; 300000, MROUND(G97,10)&lt;= 700000), ROUND(ABS(MROUND(G97,10)- 300000)*0.05,0), IF(AND(MROUND(G97,10)&gt; 700000, MROUND(G97,10)&lt;= 1000000),  ROUND(20000+ ABS(MROUND(G97,10)- 700000)*0.1,0), IF(AND(MROUND(G97,10)&gt; 1000000, MROUND(G97,10)&lt;= 1200000),  ROUND(50000+ ABS(MROUND(G97,10)- 1000000)*0.15,0),IF(AND(MROUND(G97,10)&gt; 1200000, MROUND(G97,10)&lt;= 1500000),  ROUND(80000+ ABS(MROUND(G97,10)- 1200000)*0.2,0), IF(MROUND(G97,10)&gt; 1500000,  ROUND(140000+ABS(MROUND(G97,10)- 1500000)*0.3,0), 0)))))),0)))))))))))))))))</f>
        <v>0</v>
      </c>
      <c r="AU97" s="6">
        <f>IF(OR(B97="2013-2014",B97="2014-2015",B97="2015-2016"),IF(AND(MROUND(G97,10)&lt;=500000,MROUND(G97,10)&lt;&gt;0),IF(AT97&lt;=2000, AT97,2000),0), IF(B97="2016-2017",IF(AND(MROUND(G97,10)&lt;=500000,MROUND(G97,10)&lt;&gt;0),IF(AT97&lt;=5000, AT97,5000),0), IF(OR(B97="2017-2018",B97="2018-2019"),IF(AND(MROUND(G97,10)&lt;=350000,MROUND(G97,10)&lt;&gt;0),IF(AT97&lt;=2500, AT97,2500),0), IF(OR(B97="2019-2020",B97="2020-2021",B97="2021-2022",B97="2022-2023",AND(B97="2023-2024",'Basic Information'!$AG$21="Yes"),AND(B97="2024-2025",'Basic Information'!$AG$24="Yes")),IF(AND(MROUND(G97,10)&lt;=500000,MROUND(G97,10)&lt;&gt;0),IF(AT97&lt;=12500, AT97,12500),0), IF(OR(AND(B97="2023-2024",'Basic Information'!$AG$21="No")),IF(AND(MROUND(G97,10)&lt;=700000,MROUND(G97,10)&lt;&gt;0),IF(AT97&lt;=25000, AT97,25000),IF(AND(MROUND(G97,10)&lt;&gt;0,(MROUND(G97,10)-700000)&lt;=AT97),AT97-(MROUND(G97,10)-700000),0)), IF(OR(AND(B97="2024-2025",'Basic Information'!$AG$24="No")),IF(AND(MROUND(G97,10)&lt;=700000,MROUND(G97,10)&lt;&gt;0),IF(AT97&lt;=20000, AT97,20000),IF(AND(MROUND(G97,10)&lt;&gt;0,(MROUND(G97,10)-700000)&lt;=AT97),AT97-(MROUND(G97,10)-700000),0)),0))))))</f>
        <v>0</v>
      </c>
      <c r="AV97" s="6">
        <f t="shared" si="5"/>
        <v>0</v>
      </c>
      <c r="AW97" s="6">
        <f t="shared" si="6"/>
        <v>0</v>
      </c>
      <c r="AX97" s="6">
        <f>IF( AND(OR(B97="2005-2006",B97="2006-2007"),$U$22&lt;&gt;"Female"),IF( MROUND(S97,10)&lt;= 100000, 0, IF(AND(MROUND(S97,10)&gt; 100000,MROUND(S97,10)&lt;= 150000),  ROUND(ABS(MROUND(S97,10)- 100000)*0.1,0), IF(AND(MROUND(S97,10)&gt; 150000, MROUND(S97,10)&lt;= 250000), ROUND(5000+ ABS(MROUND(S97,10)- 150000)*0.2,0),IF(MROUND(S97,10)&gt; 250000,  ROUND(25000+ABS(MROUND(S97,10)- 250000)*0.3,0),  0)))),IF(AND(OR(B97="2005-2006",B97="2006-2007"),$U$22="Female"),IF(MROUND(S97,10)&lt;= 135000, 0, IF(AND(MROUND(S97,10)&gt; 135000, MROUND(S97,10)&lt;= 150000), ROUND(ABS(MROUND(S97,10)- 135000)*0.1,0), IF(AND(MROUND(S97,10)&gt; 150000, MROUND(S97,10)&lt;= 250000), ROUND(1500+ ABS(MROUND(S97,10)- 150000)*0.2,0),  IF(MROUND(S97,10)&gt; 250000, ROUND(21500+ABS(MROUND(S97,10)- 250000)*0.3,0),0)))),IF(AND(B97="2007-2008",$U$22&lt;&gt;"Female"), IF(MROUND(S97,10)&lt;= 110000,  0,  IF(AND(MROUND(S97,10)&gt; 110000, MROUND(S97,10)&lt;= 150000),     ROUND(ABS(MROUND(S97,10)- 110000)*0.1,0),  IF(AND(MROUND(S97,10)&gt; 150000, MROUND(S97,10)&lt;= 250000),  ROUND(4000+ ABS(MROUND(S97,10)- 150000)*0.2,0),   IF(MROUND(S97,10)&gt; 250000,   ROUND(24000+ABS(MROUND(S97,10)- 250000)*0.3,0),0)))),IF(AND(B97="2007-2008",$U$22="Female"), IF(MROUND(S97,10)&lt;= 145000, 0, IF(AND(MROUND(S97,10)&gt; 145000, MROUND(S97,10)&lt;= 150000),     ROUND(ABS(MROUND(S97,10)- 145000)*0.1,0),  IF(AND(MROUND(S97,10)&gt; 150000, MROUND(S97,10)&lt;= 250000),  ROUND(500+ ABS(MROUND(S97,10)- 150000)*0.2,0),  IF(MROUND(S97,10)&gt; 250000, ROUND(20500+ABS(MROUND(S97,10)- 250000)*0.3,0),0)))), IF(AND(B97="2008-2009",$U$22&lt;&gt;"Female"), IF(MROUND(S97,10)&lt;= 150000, 0, IF(AND(MROUND(S97,10)&gt; 150000, MROUND(S97,10)&lt;= 300000), ROUND(ABS(MROUND(S97,10)- 150000)*0.1,0), IF(AND(MROUND(S97,10)&gt; 300000, MROUND(S97,10)&lt;= 500000),  ROUND(15000+ ABS(MROUND(S97,10)- 300000)*0.2,0),  IF(MROUND(S97,10)&gt; 500000,  ROUND(55000+ABS(MROUND(S97,10)- 500000)*0.3,0),0)))), IF(AND(B97="2008-2009",$U$22="Female"), IF(MROUND(S97,10)&lt;= 180000, 0, IF(AND(MROUND(S97,10)&gt; 180000, MROUND(S97,10)&lt;= 300000), ROUND(ABS(MROUND(S97,10)- 180000)*0.1,0), IF(AND(MROUND(S97,10)&gt; 300000, MROUND(S97,10)&lt;= 500000), ROUND(12000+ ABS(MROUND(S97,10)- 300000)*0.2,0),  IF(MROUND(S97,10)&gt; 500000,  ROUND(52000+ABS(MROUND(S97,10)- 500000)*0.3,0),0)))), IF(AND(B97="2009-2010", $U$22&lt;&gt;"Female"), IF(MROUND(S97,10)&lt;= 160000, 0, IF(AND(MROUND(S97,10)&gt; 160000, MROUND(S97,10)&lt;= 300000),ROUND(ABS(MROUND(S97,10)- 160000)*0.1,0), IF(AND(MROUND(S97,10)&gt; 300000, MROUND(S97,10)&lt;= 500000),ROUND(14000+ ABS(MROUND(S97,10)- 300000)*0.2,0),  IF(MROUND(S97,10)&gt; 500000, ROUND(54000+ABS(MROUND(S97,10)- 500000)*0.3,0),0)))),IF(AND(B97="2009-2010",$U$22="Female"), IF(MROUND(S97,10)&lt;= 190000, 0, IF(AND(MROUND(S97,10)&gt; 190000, MROUND(S97,10)&lt;= 300000),ROUND(ABS(MROUND(S97,10)- 190000)*0.1,0), IF(AND(MROUND(S97,10)&gt; 300000, MROUND(S97,10)&lt;= 500000), ROUND(11000+ ABS(MROUND(S97,10)- 300000)*0.2,0),IF(MROUND(S97,10)&gt; 500000,  ROUND(51000+ABS(MROUND(S97,10)- 500000)*0.3,0),0)))), IF(AND(B97="2010-2011",$U$22&lt;&gt;"Female"), IF(MROUND(S97,10)&lt;= 160000, 0, IF(AND(MROUND(S97,10)&gt; 160000, MROUND(S97,10)&lt;= 500000), ROUND(ABS(MROUND(S97,10)- 160000)*0.1,0), IF(AND(MROUND(S97,10)&gt; 500000, MROUND(S97,10)&lt;= 800000), ROUND(34000+ ABS(MROUND(S97,10)- 500000)*0.2,0),  IF(MROUND(S97,10)&gt; 800000,  ROUND(94000+ABS(MROUND(S97,10)- 800000)*0.3,0),0)))), IF(AND(OR(B97="2010-2011",B97="2011-2012"),$U$22="Female"), IF(MROUND(S97,10)&lt;= 190000, 0, IF(AND(MROUND(S97,10)&gt; 190000, MROUND(S97,10)&lt;= 500000), ROUND(ABS(MROUND(S97,10)- 190000)*0.1,0), IF(AND(MROUND(S97,10)&gt; 500000, MROUND(S97,10)&lt;= 800000),  ROUND(31000+ ABS(MROUND(S97,10)- 500000)*0.2,0),  IF(MROUND(S97,10)&gt; 800000,  ROUND(91000+ABS(MROUND(S97,10)- 800000)*0.3,0),0)))), IF(AND(B97="2011-2012", $U$22&lt;&gt;"Female"), IF(MROUND(S97,10)&lt;= 180000, 0, IF(AND(MROUND(S97,10)&gt; 180000, MROUND(S97,10)&lt;= 500000), ROUND(ABS(MROUND(S97,10)- 180000)*0.1,0), IF(AND(MROUND(S97,10)&gt; 500000, MROUND(S97,10)&lt;= 800000),  ROUND(32000+ ABS(MROUND(S97,10)- 500000)*0.2,0),  IF(MROUND(S97,10)&gt; 800000,  ROUND(92000+ABS(MROUND(S97,10)- 800000)*0.3,0),0)))), IF(OR(B97="2012-2013",B97="2013-2014"), IF(MROUND(S97,10)&lt;= 200000, 0, IF(AND(MROUND(S97,10)&gt; 200000, MROUND(S97,10)&lt;= 500000), ROUND(ABS(MROUND(S97,10)- 200000)*0.1,0), IF(AND(MROUND(S97,10)&gt; 500000, MROUND(S97,10)&lt;= 1000000),  ROUND(30000+ ABS(MROUND(S97,10)- 500000)*0.2,0),  IF(MROUND(S97,10)&gt; 1000000,  ROUND(130000+ABS(MROUND(S97,10)- 1000000)*0.3,0),0)))), IF(OR(B97="2014-2015", B97="2015-2016",B97="2016-2017"), IF(MROUND(S97,10)&lt;= 250000, 0, IF(AND(MROUND(S97,10)&gt; 250000, MROUND(S97,10)&lt;= 500000), ROUND(ABS(MROUND(S97,10)- 250000)*0.1,0), IF(AND(MROUND(S97,10)&gt; 500000, MROUND(S97,10)&lt;= 1000000),  ROUND(25000+ ABS(MROUND(S97,10)- 500000)*0.2,0),  IF(MROUND(S97,10)&gt; 1000000,  ROUND(125000+ABS(MROUND(S97,10)- 1000000)*0.3,0), 0)))),IF(OR(B97="2017-2018",B97="2018-2019",B97="2019-2020",AND(B97="2020-2021",'Basic Information'!$AG$12="No"),AND(B97="2021-2022",'Basic Information'!$AG$15="No"),AND(B97="2022-2023",'Basic Information'!$AG$18="No"),AND(B97="2023-2024",'Basic Information'!$AG$21="Yes"),AND(B97="2024-2025",'Basic Information'!$AG$24="Yes")), IF(MROUND(S97,10)&lt;= 250000, 0, IF(AND(MROUND(S97,10)&gt; 250000, MROUND(S97,10)&lt;= 500000), ROUND(ABS(MROUND(S97,10)- 250000)*0.05,0), IF(AND(MROUND(S97,10)&gt; 500000, MROUND(S97,10)&lt;= 1000000),  ROUND(12500+ ABS(MROUND(S97,10)- 500000)*0.2,0),  IF(MROUND(S97,10)&gt; 1000000,  ROUND(112500+ABS(MROUND(S97,10)- 1000000)*0.3,0), 0)))),IF(OR(AND(B97="2020-2021",'Basic Information'!$AG$12="Yes"),AND(B97="2021-2022",'Basic Information'!$AG$15="Yes"),AND(B97="2022-2023",'Basic Information'!$AG$18="Yes")), IF(MROUND(S97,10)&lt;= 250000, 0, IF(AND(MROUND(S97,10)&gt; 250000, MROUND(S97,10)&lt;= 500000), ROUND(ABS(MROUND(S97,10)- 250000)*0.05,0), IF(AND(MROUND(S97,10)&gt; 500000, MROUND(S97,10)&lt;= 750000),  ROUND(12500+ ABS(MROUND(S97,10)- 500000)*0.1,0), IF(AND(MROUND(S97,10)&gt; 750000, MROUND(S97,10)&lt;= 1000000),  ROUND(37500+ ABS(MROUND(S97,10)- 750000)*0.15,0),IF(AND(MROUND(S97,10)&gt; 1000000, MROUND(S97,10)&lt;= 1250000),  ROUND(75000+ ABS(MROUND(S97,10)- 1000000)*0.2,0),IF(AND(MROUND(S97,10)&gt; 1250000, MROUND(S97,10)&lt;= 1500000),  ROUND(125000+ ABS(MROUND(S97,10)- 1250000)*0.25,0), IF(MROUND(S97,10)&gt; 1500000,  ROUND(187500+ABS(MROUND(S97,10)- 1500000)*0.3,0), 0))))))),IF(AND(B97="2023-2024",'Basic Information'!$AG$21="No"), IF(MROUND(S97,10)&lt;= 300000, 0, IF(AND(MROUND(S97,10)&gt; 300000, MROUND(S97,10)&lt;= 600000), ROUND(ABS(MROUND(S97,10)- 300000)*0.05,0), IF(AND(MROUND(S97,10)&gt; 600000, MROUND(S97,10)&lt;= 900000),  ROUND(15000+ ABS(MROUND(S97,10)- 600000)*0.1,0), IF(AND(MROUND(S97,10)&gt; 900000, MROUND(S97,10)&lt;= 1200000),  ROUND(45000+ ABS(MROUND(S97,10)- 900000)*0.15,0),IF(AND(MROUND(S97,10)&gt; 1200000, MROUND(S97,10)&lt;= 1500000),  ROUND(90000+ ABS(MROUND(S97,10)- 1200000)*0.2,0), IF(MROUND(S97,10)&gt; 1500000,  ROUND(150000+ABS(MROUND(S97,10)- 1500000)*0.3,0), 0)))))),IF(AND(B97="2024-2025",'Basic Information'!$AG$24="No"), IF(MROUND(S97,10)&lt;= 300000, 0, IF(AND(MROUND(S97,10)&gt; 300000, MROUND(S97,10)&lt;= 700000), ROUND(ABS(MROUND(S97,10)- 300000)*0.05,0), IF(AND(MROUND(S97,10)&gt; 700000, MROUND(S97,10)&lt;= 1000000),  ROUND(20000+ ABS(MROUND(S97,10)- 700000)*0.1,0), IF(AND(MROUND(S97,10)&gt; 1000000, MROUND(S97,10)&lt;= 1200000),  ROUND(50000+ ABS(MROUND(S97,10)- 1000000)*0.15,0),IF(AND(MROUND(S97,10)&gt; 1200000, MROUND(S97,10)&lt;= 1500000),  ROUND(80000+ ABS(MROUND(S97,10)- 1200000)*0.2,0), IF(MROUND(S97,10)&gt; 1500000,  ROUND(140000+ABS(MROUND(S97,10)- 1500000)*0.3,0), 0)))))),0)))))))))))))))))</f>
        <v>0</v>
      </c>
      <c r="AY97" s="6">
        <f>IF(OR(B97="2013-2014",B97="2014-2015",B97="2015-2016"),IF(AND(MROUND(S97,10)&lt;=500000,MROUND(S97,10)&lt;&gt;0),IF(AX97&lt;=2000, AX97,2000),0), IF(B97="2016-2017",IF(AND(MROUND(S97,10)&lt;=500000, MROUND(S97,10)&lt;&gt;0),IF(AX97&lt;=5000, AX97,5000),0), IF(OR(B97="2017-2018",B97="2018-2019"),IF(AND(MROUND(S97,10)&lt;=350000,MROUND(S97,10)&lt;&gt;0),IF(AX97&lt;=2500, AX97,2500),0), IF(OR(B97="2019-2020",B97="2020-2021",B97="2021-2022",B97="2022-2023",AND(B97="2023-2024",'Basic Information'!$AG$21="Yes"),AND(B97="2024-2025",'Basic Information'!$AG$24="Yes")),IF(AND(MROUND(S97,10)&lt;=500000,MROUND(S97,10)&lt;&gt;0),IF(AX97&lt;=12500, AX97,12500),0), IF(OR(AND(B97="2023-2024",'Basic Information'!$AG$21="No")),IF(AND(MROUND(S97,10)&lt;=700000,MROUND(S97,10)&lt;&gt;0),IF(AX97&lt;=25000, AX97,25000),IF(AND(MROUND(S97,10)&lt;&gt;0,(MROUND(S97,10)-700000)&lt;= AX97), AX97-(MROUND(S97,10)-700000),0)), IF(OR(AND(B97="2024-2025",'Basic Information'!$AG$24="No")),IF(AND(MROUND(S97,10)&lt;=700000,MROUND(S97,10)&lt;&gt;0),IF(AX97&lt;=20000, AX97,20000),IF(AND(MROUND(S97,10)&lt;&gt;0,(MROUND(S97,10)-700000)&lt;= AX97), AX97-(MROUND(S97,10)-700000),0)),0))))))</f>
        <v>0</v>
      </c>
      <c r="AZ97" s="6">
        <f t="shared" si="0"/>
        <v>0</v>
      </c>
      <c r="BA97" s="6">
        <f t="shared" si="7"/>
        <v>0</v>
      </c>
    </row>
    <row r="98" spans="2:53" x14ac:dyDescent="0.3">
      <c r="B98" s="452"/>
      <c r="C98" s="453"/>
      <c r="D98" s="453"/>
      <c r="E98" s="453"/>
      <c r="F98" s="454"/>
      <c r="G98" s="455"/>
      <c r="H98" s="456"/>
      <c r="I98" s="456"/>
      <c r="J98" s="456"/>
      <c r="K98" s="456"/>
      <c r="L98" s="457"/>
      <c r="M98" s="455"/>
      <c r="N98" s="456"/>
      <c r="O98" s="456"/>
      <c r="P98" s="456"/>
      <c r="Q98" s="456"/>
      <c r="R98" s="457"/>
      <c r="S98" s="458">
        <f t="shared" si="1"/>
        <v>0</v>
      </c>
      <c r="T98" s="459"/>
      <c r="U98" s="459"/>
      <c r="V98" s="459"/>
      <c r="W98" s="459"/>
      <c r="X98" s="460"/>
      <c r="Y98" s="458">
        <f t="shared" si="2"/>
        <v>0</v>
      </c>
      <c r="Z98" s="459"/>
      <c r="AA98" s="459"/>
      <c r="AB98" s="459"/>
      <c r="AC98" s="459"/>
      <c r="AD98" s="460"/>
      <c r="AE98" s="458">
        <f t="shared" si="3"/>
        <v>0</v>
      </c>
      <c r="AF98" s="459"/>
      <c r="AG98" s="459"/>
      <c r="AH98" s="459"/>
      <c r="AI98" s="459"/>
      <c r="AJ98" s="461"/>
      <c r="AK98" s="462">
        <f t="shared" si="4"/>
        <v>0</v>
      </c>
      <c r="AL98" s="463"/>
      <c r="AM98" s="463"/>
      <c r="AN98" s="463"/>
      <c r="AO98" s="463"/>
      <c r="AP98" s="464"/>
      <c r="AQ98" s="36" t="str">
        <f t="shared" si="8"/>
        <v/>
      </c>
      <c r="AT98" s="6">
        <f>IF( AND(OR(B98="2005-2006",B98="2006-2007"),$U$22&lt;&gt;"Female"),IF( MROUND(G98,10)&lt;= 100000, 0, IF(AND(MROUND(G98,10)&gt; 100000,MROUND(G98,10)&lt;= 150000),  ROUND(ABS(MROUND(G98,10)- 100000)*0.1,0), IF(AND(MROUND(G98,10)&gt; 150000, MROUND(G98,10)&lt;= 250000), ROUND(5000+ ABS(MROUND(G98,10)- 150000)*0.2,0),IF(MROUND(G98,10)&gt; 250000,  ROUND(25000+ABS(MROUND(G98,10)- 250000)*0.3,0),  0)))),IF(AND(OR(B98="2005-2006",B98="2006-2007"),$U$22="Female"),IF(MROUND(G98,10)&lt;= 135000, 0, IF(AND(MROUND(G98,10)&gt; 135000, MROUND(G98,10)&lt;= 150000), ROUND(ABS(MROUND(G98,10)- 135000)*0.1,0), IF(AND(MROUND(G98,10)&gt; 150000, MROUND(G98,10)&lt;= 250000), ROUND(1500+ ABS(MROUND(G98,10)- 150000)*0.2,0),  IF(MROUND(G98,10)&gt; 250000, ROUND(21500+ABS(MROUND(G98,10)- 250000)*0.3,0),0)))),IF(AND(B98="2007-2008",$U$22&lt;&gt;"Female"), IF(MROUND(G98,10)&lt;= 110000,  0,  IF(AND(MROUND(G98,10)&gt; 110000, MROUND(G98,10)&lt;= 150000), ROUND(ABS(MROUND(G98,10)- 110000)*0.1,0),  IF(AND(MROUND(G98,10)&gt; 150000, MROUND(G98,10)&lt;= 250000),  ROUND(4000+ ABS(MROUND(G98,10)- 150000)*0.2,0),   IF(MROUND(G98,10)&gt; 250000,   ROUND(24000+ABS(MROUND(G98,10)- 250000)*0.3,0),0)))),IF(AND(B98="2007-2008",$U$22="Female"), IF(MROUND(G98,10)&lt;= 145000, 0, IF(AND(MROUND(G98,10)&gt; 145000, MROUND(G98,10)&lt;= 150000),     ROUND(ABS(MROUND(G98,10)- 145000)*0.1,0),  IF(AND(MROUND(G98,10)&gt; 150000, MROUND(G98,10)&lt;= 250000),  ROUND(500+ ABS(MROUND(G98,10)- 150000)*0.2,0),  IF(MROUND(G98,10)&gt; 250000, ROUND(20500+ABS(MROUND(G98,10)- 250000)*0.3,0),0)))), IF(AND(B98="2008-2009",$U$22&lt;&gt;"Female"), IF(MROUND(G98,10)&lt;= 150000, 0, IF(AND(MROUND(G98,10)&gt; 150000, MROUND(G98,10)&lt;= 300000), ROUND(ABS(MROUND(G98,10)- 150000)*0.1,0), IF(AND(MROUND(G98,10)&gt; 300000, MROUND(G98,10)&lt;= 500000),  ROUND(15000+ ABS(MROUND(G98,10)- 300000)*0.2,0),  IF(MROUND(G98,10)&gt; 500000,  ROUND(55000+ABS(MROUND(G98,10)- 500000)*0.3,0),0)))), IF(AND(B98="2008-2009",$U$22="Female"), IF(MROUND(G98,10)&lt;= 180000, 0, IF(AND(MROUND(G98,10)&gt; 180000, MROUND(G98,10)&lt;= 300000), ROUND(ABS(MROUND(G98,10)- 180000)*0.1,0), IF(AND(MROUND(G98,10)&gt; 300000, MROUND(G98,10)&lt;= 500000), ROUND(12000+ ABS(MROUND(G98,10)- 300000)*0.2,0),  IF(MROUND(G98,10)&gt; 500000,  ROUND(52000+ABS(MROUND(G98,10)- 500000)*0.3,0),0)))), IF(AND(B98="2009-2010", $U$22&lt;&gt;"Female"), IF(MROUND(G98,10)&lt;= 160000, 0, IF(AND(MROUND(G98,10)&gt; 160000, MROUND(G98,10)&lt;= 300000),ROUND(ABS(MROUND(G98,10)- 160000)*0.1,0), IF(AND(MROUND(G98,10)&gt; 300000, MROUND(G98,10)&lt;= 500000),ROUND(14000+ ABS(MROUND(G98,10)- 300000)*0.2,0),  IF(MROUND(G98,10)&gt; 500000, ROUND(54000+ABS(MROUND(G98,10)- 500000)*0.3,0),0)))),IF(AND(B98="2009-2010",$U$22="Female"), IF(MROUND(G98,10)&lt;= 190000, 0, IF(AND(MROUND(G98,10)&gt; 190000, MROUND(G98,10)&lt;= 300000),ROUND(ABS(MROUND(G98,10)- 190000)*0.1,0), IF(AND(MROUND(G98,10)&gt; 300000, MROUND(G98,10)&lt;= 500000), ROUND(11000+ ABS(MROUND(G98,10)- 300000)*0.2,0),IF(MROUND(G98,10)&gt; 500000,  ROUND(51000+ABS(MROUND(G98,10)- 500000)*0.3,0),0)))), IF(AND(B98="2010-2011",$U$22&lt;&gt;"Female"), IF(MROUND(G98,10)&lt;= 160000, 0, IF(AND(MROUND(G98,10)&gt; 160000, MROUND(G98,10)&lt;= 500000), ROUND(ABS(MROUND(G98,10)- 160000)*0.1,0), IF(AND(MROUND(G98,10)&gt; 500000, MROUND(G98,10)&lt;= 800000), ROUND(34000+ ABS(MROUND(G98,10)- 500000)*0.2,0),  IF(MROUND(G98,10)&gt; 800000,  ROUND(94000+ABS(MROUND(G98,10)- 800000)*0.3,0),0)))), IF(AND(OR(B98="2010-2011",B98="2011-2012"),$U$22="Female"), IF(MROUND(G98,10)&lt;= 190000, 0, IF(AND(MROUND(G98,10)&gt; 190000, MROUND(G98,10)&lt;= 500000), ROUND(ABS(MROUND(G98,10)- 190000)*0.1,0), IF(AND(MROUND(G98,10)&gt; 500000, MROUND(G98,10)&lt;= 800000),  ROUND(31000+ ABS(MROUND(G98,10)- 500000)*0.2,0),  IF(MROUND(G98,10)&gt; 800000,  ROUND(91000+ABS(MROUND(G98,10)- 800000)*0.3,0),0)))), IF(AND(B98="2011-2012", $U$22&lt;&gt;"Female"), IF(MROUND(G98,10)&lt;= 180000, 0, IF(AND(MROUND(G98,10)&gt; 180000, MROUND(G98,10)&lt;= 500000), ROUND(ABS(MROUND(G98,10)- 180000)*0.1,0), IF(AND(MROUND(G98,10)&gt; 500000, MROUND(G98,10)&lt;= 800000),  ROUND(32000+ ABS(MROUND(G98,10)- 500000)*0.2,0),  IF(MROUND(G98,10)&gt; 800000,  ROUND(92000+ABS(MROUND(G98,10)- 800000)*0.3,0),0)))), IF(OR(B98="2012-2013",B98="2013-2014"), IF(MROUND(G98,10)&lt;= 200000, 0, IF(AND(MROUND(G98,10)&gt; 200000, MROUND(G98,10)&lt;= 500000), ROUND(ABS(MROUND(G98,10)- 200000)*0.1,0), IF(AND(MROUND(G98,10)&gt; 500000, MROUND(G98,10)&lt;= 1000000),  ROUND(30000+ ABS(MROUND(G98,10)- 500000)*0.2,0),  IF(MROUND(G98,10)&gt; 1000000,  ROUND(130000+ABS(MROUND(G98,10)- 1000000)*0.3,0),0)))), IF(OR(B98="2014-2015", B98="2015-2016",B98="2016-2017"), IF(MROUND(G98,10)&lt;= 250000, 0, IF(AND(MROUND(G98,10)&gt; 250000, MROUND(G98,10)&lt;= 500000), ROUND(ABS(MROUND(G98,10)- 250000)*0.1,0), IF(AND(MROUND(G98,10)&gt; 500000, MROUND(G98,10)&lt;= 1000000),  ROUND(25000+ ABS(MROUND(G98,10)- 500000)*0.2,0),  IF(MROUND(G98,10)&gt; 1000000,  ROUND(125000+ABS(MROUND(G98,10)- 1000000)*0.3,0), 0)))), IF(OR(B98="2017-2018",B98="2018-2019",B98="2019-2020",AND(B98="2020-2021",'Basic Information'!$AG$12="No"),AND(B98="2021-2022",'Basic Information'!$AG$15="No"),AND(B98="2022-2023",'Basic Information'!$AG$18="No"),AND(B98="2023-2024",'Basic Information'!$AG$21="Yes"),AND(B98="2024-2025",'Basic Information'!$AG$24="Yes")), IF(MROUND(G98,10)&lt;= 250000, 0, IF(AND(MROUND(G98,10)&gt; 250000, MROUND(G98,10)&lt;= 500000), ROUND(ABS(MROUND(G98,10)- 250000)*0.05,0), IF(AND(MROUND(G98,10)&gt; 500000, MROUND(G98,10)&lt;= 1000000),  ROUND(12500+ ABS(MROUND(G98,10)- 500000)*0.2,0),  IF(MROUND(G98,10)&gt; 1000000,  ROUND(112500+ABS(MROUND(G98,10)- 1000000)*0.3,0), 0)))),IF(OR(AND(B98="2020-2021",'Basic Information'!$AG$12="Yes"),AND(B98="2021-2022",'Basic Information'!$AG$15="Yes"),AND(B98="2022-2023",'Basic Information'!$AG$18="Yes")), IF(MROUND(G98,10)&lt;= 250000, 0, IF(AND(MROUND(G98,10)&gt; 250000, MROUND(G98,10)&lt;= 500000), ROUND(ABS(MROUND(G98,10)- 250000)*0.05,0), IF(AND(MROUND(G98,10)&gt; 500000, MROUND(G98,10)&lt;= 750000),  ROUND(12500+ ABS(MROUND(G98,10)- 500000)*0.1,0), IF(AND(MROUND(G98,10)&gt; 750000, MROUND(G98,10)&lt;= 1000000),  ROUND(37500+ ABS(MROUND(G98,10)- 750000)*0.15,0),IF(AND(MROUND(G98,10)&gt; 1000000, MROUND(G98,10)&lt;= 1250000),  ROUND(75000+ ABS(MROUND(G98,10)- 1000000)*0.2,0),IF(AND(MROUND(G98,10)&gt; 1250000, MROUND(G98,10)&lt;= 1500000),  ROUND(125000+ ABS(MROUND(G98,10)- 1250000)*0.25,0), IF(MROUND(G98,10)&gt; 1500000,  ROUND(187500+ABS(MROUND(G98,10)- 1500000)*0.3,0), 0))))))),IF(AND(B98="2023-2024",'Basic Information'!$AG$21="No"), IF(MROUND(G98,10)&lt;= 300000, 0, IF(AND(MROUND(G98,10)&gt; 300000, MROUND(G98,10)&lt;= 600000), ROUND(ABS(MROUND(G98,10)- 300000)*0.05,0), IF(AND(MROUND(G98,10)&gt; 600000, MROUND(G98,10)&lt;= 900000),  ROUND(15000+ ABS(MROUND(G98,10)- 600000)*0.1,0), IF(AND(MROUND(G98,10)&gt; 900000, MROUND(G98,10)&lt;= 1200000),  ROUND(45000+ ABS(MROUND(G98,10)- 900000)*0.15,0),IF(AND(MROUND(G98,10)&gt; 1200000, MROUND(G98,10)&lt;= 1500000),  ROUND(90000+ ABS(MROUND(G98,10)- 1200000)*0.2,0), IF(MROUND(G98,10)&gt; 1500000,  ROUND(150000+ABS(MROUND(G98,10)- 1500000)*0.3,0), 0)))))),IF(AND(B98="2024-2025",'Basic Information'!$AG$24="No"), IF(MROUND(G98,10)&lt;= 300000, 0, IF(AND(MROUND(G98,10)&gt; 300000, MROUND(G98,10)&lt;= 700000), ROUND(ABS(MROUND(G98,10)- 300000)*0.05,0), IF(AND(MROUND(G98,10)&gt; 700000, MROUND(G98,10)&lt;= 1000000),  ROUND(20000+ ABS(MROUND(G98,10)- 700000)*0.1,0), IF(AND(MROUND(G98,10)&gt; 1000000, MROUND(G98,10)&lt;= 1200000),  ROUND(50000+ ABS(MROUND(G98,10)- 1000000)*0.15,0),IF(AND(MROUND(G98,10)&gt; 1200000, MROUND(G98,10)&lt;= 1500000),  ROUND(80000+ ABS(MROUND(G98,10)- 1200000)*0.2,0), IF(MROUND(G98,10)&gt; 1500000,  ROUND(140000+ABS(MROUND(G98,10)- 1500000)*0.3,0), 0)))))),0)))))))))))))))))</f>
        <v>0</v>
      </c>
      <c r="AU98" s="6">
        <f>IF(OR(B98="2013-2014",B98="2014-2015",B98="2015-2016"),IF(AND(MROUND(G98,10)&lt;=500000,MROUND(G98,10)&lt;&gt;0),IF(AT98&lt;=2000, AT98,2000),0), IF(B98="2016-2017",IF(AND(MROUND(G98,10)&lt;=500000,MROUND(G98,10)&lt;&gt;0),IF(AT98&lt;=5000, AT98,5000),0), IF(OR(B98="2017-2018",B98="2018-2019"),IF(AND(MROUND(G98,10)&lt;=350000,MROUND(G98,10)&lt;&gt;0),IF(AT98&lt;=2500, AT98,2500),0), IF(OR(B98="2019-2020",B98="2020-2021",B98="2021-2022",B98="2022-2023",AND(B98="2023-2024",'Basic Information'!$AG$21="Yes"),AND(B98="2024-2025",'Basic Information'!$AG$24="Yes")),IF(AND(MROUND(G98,10)&lt;=500000,MROUND(G98,10)&lt;&gt;0),IF(AT98&lt;=12500, AT98,12500),0), IF(OR(AND(B98="2023-2024",'Basic Information'!$AG$21="No")),IF(AND(MROUND(G98,10)&lt;=700000,MROUND(G98,10)&lt;&gt;0),IF(AT98&lt;=25000, AT98,25000),IF(AND(MROUND(G98,10)&lt;&gt;0,(MROUND(G98,10)-700000)&lt;=AT98),AT98-(MROUND(G98,10)-700000),0)), IF(OR(AND(B98="2024-2025",'Basic Information'!$AG$24="No")),IF(AND(MROUND(G98,10)&lt;=700000,MROUND(G98,10)&lt;&gt;0),IF(AT98&lt;=20000, AT98,20000),IF(AND(MROUND(G98,10)&lt;&gt;0,(MROUND(G98,10)-700000)&lt;=AT98),AT98-(MROUND(G98,10)-700000),0)),0))))))</f>
        <v>0</v>
      </c>
      <c r="AV98" s="6">
        <f t="shared" si="5"/>
        <v>0</v>
      </c>
      <c r="AW98" s="6">
        <f t="shared" si="6"/>
        <v>0</v>
      </c>
      <c r="AX98" s="6">
        <f>IF( AND(OR(B98="2005-2006",B98="2006-2007"),$U$22&lt;&gt;"Female"),IF( MROUND(S98,10)&lt;= 100000, 0, IF(AND(MROUND(S98,10)&gt; 100000,MROUND(S98,10)&lt;= 150000),  ROUND(ABS(MROUND(S98,10)- 100000)*0.1,0), IF(AND(MROUND(S98,10)&gt; 150000, MROUND(S98,10)&lt;= 250000), ROUND(5000+ ABS(MROUND(S98,10)- 150000)*0.2,0),IF(MROUND(S98,10)&gt; 250000,  ROUND(25000+ABS(MROUND(S98,10)- 250000)*0.3,0),  0)))),IF(AND(OR(B98="2005-2006",B98="2006-2007"),$U$22="Female"),IF(MROUND(S98,10)&lt;= 135000, 0, IF(AND(MROUND(S98,10)&gt; 135000, MROUND(S98,10)&lt;= 150000), ROUND(ABS(MROUND(S98,10)- 135000)*0.1,0), IF(AND(MROUND(S98,10)&gt; 150000, MROUND(S98,10)&lt;= 250000), ROUND(1500+ ABS(MROUND(S98,10)- 150000)*0.2,0),  IF(MROUND(S98,10)&gt; 250000, ROUND(21500+ABS(MROUND(S98,10)- 250000)*0.3,0),0)))),IF(AND(B98="2007-2008",$U$22&lt;&gt;"Female"), IF(MROUND(S98,10)&lt;= 110000,  0,  IF(AND(MROUND(S98,10)&gt; 110000, MROUND(S98,10)&lt;= 150000),     ROUND(ABS(MROUND(S98,10)- 110000)*0.1,0),  IF(AND(MROUND(S98,10)&gt; 150000, MROUND(S98,10)&lt;= 250000),  ROUND(4000+ ABS(MROUND(S98,10)- 150000)*0.2,0),   IF(MROUND(S98,10)&gt; 250000,   ROUND(24000+ABS(MROUND(S98,10)- 250000)*0.3,0),0)))),IF(AND(B98="2007-2008",$U$22="Female"), IF(MROUND(S98,10)&lt;= 145000, 0, IF(AND(MROUND(S98,10)&gt; 145000, MROUND(S98,10)&lt;= 150000),     ROUND(ABS(MROUND(S98,10)- 145000)*0.1,0),  IF(AND(MROUND(S98,10)&gt; 150000, MROUND(S98,10)&lt;= 250000),  ROUND(500+ ABS(MROUND(S98,10)- 150000)*0.2,0),  IF(MROUND(S98,10)&gt; 250000, ROUND(20500+ABS(MROUND(S98,10)- 250000)*0.3,0),0)))), IF(AND(B98="2008-2009",$U$22&lt;&gt;"Female"), IF(MROUND(S98,10)&lt;= 150000, 0, IF(AND(MROUND(S98,10)&gt; 150000, MROUND(S98,10)&lt;= 300000), ROUND(ABS(MROUND(S98,10)- 150000)*0.1,0), IF(AND(MROUND(S98,10)&gt; 300000, MROUND(S98,10)&lt;= 500000),  ROUND(15000+ ABS(MROUND(S98,10)- 300000)*0.2,0),  IF(MROUND(S98,10)&gt; 500000,  ROUND(55000+ABS(MROUND(S98,10)- 500000)*0.3,0),0)))), IF(AND(B98="2008-2009",$U$22="Female"), IF(MROUND(S98,10)&lt;= 180000, 0, IF(AND(MROUND(S98,10)&gt; 180000, MROUND(S98,10)&lt;= 300000), ROUND(ABS(MROUND(S98,10)- 180000)*0.1,0), IF(AND(MROUND(S98,10)&gt; 300000, MROUND(S98,10)&lt;= 500000), ROUND(12000+ ABS(MROUND(S98,10)- 300000)*0.2,0),  IF(MROUND(S98,10)&gt; 500000,  ROUND(52000+ABS(MROUND(S98,10)- 500000)*0.3,0),0)))), IF(AND(B98="2009-2010", $U$22&lt;&gt;"Female"), IF(MROUND(S98,10)&lt;= 160000, 0, IF(AND(MROUND(S98,10)&gt; 160000, MROUND(S98,10)&lt;= 300000),ROUND(ABS(MROUND(S98,10)- 160000)*0.1,0), IF(AND(MROUND(S98,10)&gt; 300000, MROUND(S98,10)&lt;= 500000),ROUND(14000+ ABS(MROUND(S98,10)- 300000)*0.2,0),  IF(MROUND(S98,10)&gt; 500000, ROUND(54000+ABS(MROUND(S98,10)- 500000)*0.3,0),0)))),IF(AND(B98="2009-2010",$U$22="Female"), IF(MROUND(S98,10)&lt;= 190000, 0, IF(AND(MROUND(S98,10)&gt; 190000, MROUND(S98,10)&lt;= 300000),ROUND(ABS(MROUND(S98,10)- 190000)*0.1,0), IF(AND(MROUND(S98,10)&gt; 300000, MROUND(S98,10)&lt;= 500000), ROUND(11000+ ABS(MROUND(S98,10)- 300000)*0.2,0),IF(MROUND(S98,10)&gt; 500000,  ROUND(51000+ABS(MROUND(S98,10)- 500000)*0.3,0),0)))), IF(AND(B98="2010-2011",$U$22&lt;&gt;"Female"), IF(MROUND(S98,10)&lt;= 160000, 0, IF(AND(MROUND(S98,10)&gt; 160000, MROUND(S98,10)&lt;= 500000), ROUND(ABS(MROUND(S98,10)- 160000)*0.1,0), IF(AND(MROUND(S98,10)&gt; 500000, MROUND(S98,10)&lt;= 800000), ROUND(34000+ ABS(MROUND(S98,10)- 500000)*0.2,0),  IF(MROUND(S98,10)&gt; 800000,  ROUND(94000+ABS(MROUND(S98,10)- 800000)*0.3,0),0)))), IF(AND(OR(B98="2010-2011",B98="2011-2012"),$U$22="Female"), IF(MROUND(S98,10)&lt;= 190000, 0, IF(AND(MROUND(S98,10)&gt; 190000, MROUND(S98,10)&lt;= 500000), ROUND(ABS(MROUND(S98,10)- 190000)*0.1,0), IF(AND(MROUND(S98,10)&gt; 500000, MROUND(S98,10)&lt;= 800000),  ROUND(31000+ ABS(MROUND(S98,10)- 500000)*0.2,0),  IF(MROUND(S98,10)&gt; 800000,  ROUND(91000+ABS(MROUND(S98,10)- 800000)*0.3,0),0)))), IF(AND(B98="2011-2012", $U$22&lt;&gt;"Female"), IF(MROUND(S98,10)&lt;= 180000, 0, IF(AND(MROUND(S98,10)&gt; 180000, MROUND(S98,10)&lt;= 500000), ROUND(ABS(MROUND(S98,10)- 180000)*0.1,0), IF(AND(MROUND(S98,10)&gt; 500000, MROUND(S98,10)&lt;= 800000),  ROUND(32000+ ABS(MROUND(S98,10)- 500000)*0.2,0),  IF(MROUND(S98,10)&gt; 800000,  ROUND(92000+ABS(MROUND(S98,10)- 800000)*0.3,0),0)))), IF(OR(B98="2012-2013",B98="2013-2014"), IF(MROUND(S98,10)&lt;= 200000, 0, IF(AND(MROUND(S98,10)&gt; 200000, MROUND(S98,10)&lt;= 500000), ROUND(ABS(MROUND(S98,10)- 200000)*0.1,0), IF(AND(MROUND(S98,10)&gt; 500000, MROUND(S98,10)&lt;= 1000000),  ROUND(30000+ ABS(MROUND(S98,10)- 500000)*0.2,0),  IF(MROUND(S98,10)&gt; 1000000,  ROUND(130000+ABS(MROUND(S98,10)- 1000000)*0.3,0),0)))), IF(OR(B98="2014-2015", B98="2015-2016",B98="2016-2017"), IF(MROUND(S98,10)&lt;= 250000, 0, IF(AND(MROUND(S98,10)&gt; 250000, MROUND(S98,10)&lt;= 500000), ROUND(ABS(MROUND(S98,10)- 250000)*0.1,0), IF(AND(MROUND(S98,10)&gt; 500000, MROUND(S98,10)&lt;= 1000000),  ROUND(25000+ ABS(MROUND(S98,10)- 500000)*0.2,0),  IF(MROUND(S98,10)&gt; 1000000,  ROUND(125000+ABS(MROUND(S98,10)- 1000000)*0.3,0), 0)))),IF(OR(B98="2017-2018",B98="2018-2019",B98="2019-2020",AND(B98="2020-2021",'Basic Information'!$AG$12="No"),AND(B98="2021-2022",'Basic Information'!$AG$15="No"),AND(B98="2022-2023",'Basic Information'!$AG$18="No"),AND(B98="2023-2024",'Basic Information'!$AG$21="Yes"),AND(B98="2024-2025",'Basic Information'!$AG$24="Yes")), IF(MROUND(S98,10)&lt;= 250000, 0, IF(AND(MROUND(S98,10)&gt; 250000, MROUND(S98,10)&lt;= 500000), ROUND(ABS(MROUND(S98,10)- 250000)*0.05,0), IF(AND(MROUND(S98,10)&gt; 500000, MROUND(S98,10)&lt;= 1000000),  ROUND(12500+ ABS(MROUND(S98,10)- 500000)*0.2,0),  IF(MROUND(S98,10)&gt; 1000000,  ROUND(112500+ABS(MROUND(S98,10)- 1000000)*0.3,0), 0)))),IF(OR(AND(B98="2020-2021",'Basic Information'!$AG$12="Yes"),AND(B98="2021-2022",'Basic Information'!$AG$15="Yes"),AND(B98="2022-2023",'Basic Information'!$AG$18="Yes")), IF(MROUND(S98,10)&lt;= 250000, 0, IF(AND(MROUND(S98,10)&gt; 250000, MROUND(S98,10)&lt;= 500000), ROUND(ABS(MROUND(S98,10)- 250000)*0.05,0), IF(AND(MROUND(S98,10)&gt; 500000, MROUND(S98,10)&lt;= 750000),  ROUND(12500+ ABS(MROUND(S98,10)- 500000)*0.1,0), IF(AND(MROUND(S98,10)&gt; 750000, MROUND(S98,10)&lt;= 1000000),  ROUND(37500+ ABS(MROUND(S98,10)- 750000)*0.15,0),IF(AND(MROUND(S98,10)&gt; 1000000, MROUND(S98,10)&lt;= 1250000),  ROUND(75000+ ABS(MROUND(S98,10)- 1000000)*0.2,0),IF(AND(MROUND(S98,10)&gt; 1250000, MROUND(S98,10)&lt;= 1500000),  ROUND(125000+ ABS(MROUND(S98,10)- 1250000)*0.25,0), IF(MROUND(S98,10)&gt; 1500000,  ROUND(187500+ABS(MROUND(S98,10)- 1500000)*0.3,0), 0))))))),IF(AND(B98="2023-2024",'Basic Information'!$AG$21="No"), IF(MROUND(S98,10)&lt;= 300000, 0, IF(AND(MROUND(S98,10)&gt; 300000, MROUND(S98,10)&lt;= 600000), ROUND(ABS(MROUND(S98,10)- 300000)*0.05,0), IF(AND(MROUND(S98,10)&gt; 600000, MROUND(S98,10)&lt;= 900000),  ROUND(15000+ ABS(MROUND(S98,10)- 600000)*0.1,0), IF(AND(MROUND(S98,10)&gt; 900000, MROUND(S98,10)&lt;= 1200000),  ROUND(45000+ ABS(MROUND(S98,10)- 900000)*0.15,0),IF(AND(MROUND(S98,10)&gt; 1200000, MROUND(S98,10)&lt;= 1500000),  ROUND(90000+ ABS(MROUND(S98,10)- 1200000)*0.2,0), IF(MROUND(S98,10)&gt; 1500000,  ROUND(150000+ABS(MROUND(S98,10)- 1500000)*0.3,0), 0)))))),IF(AND(B98="2024-2025",'Basic Information'!$AG$24="No"), IF(MROUND(S98,10)&lt;= 300000, 0, IF(AND(MROUND(S98,10)&gt; 300000, MROUND(S98,10)&lt;= 700000), ROUND(ABS(MROUND(S98,10)- 300000)*0.05,0), IF(AND(MROUND(S98,10)&gt; 700000, MROUND(S98,10)&lt;= 1000000),  ROUND(20000+ ABS(MROUND(S98,10)- 700000)*0.1,0), IF(AND(MROUND(S98,10)&gt; 1000000, MROUND(S98,10)&lt;= 1200000),  ROUND(50000+ ABS(MROUND(S98,10)- 1000000)*0.15,0),IF(AND(MROUND(S98,10)&gt; 1200000, MROUND(S98,10)&lt;= 1500000),  ROUND(80000+ ABS(MROUND(S98,10)- 1200000)*0.2,0), IF(MROUND(S98,10)&gt; 1500000,  ROUND(140000+ABS(MROUND(S98,10)- 1500000)*0.3,0), 0)))))),0)))))))))))))))))</f>
        <v>0</v>
      </c>
      <c r="AY98" s="6">
        <f>IF(OR(B98="2013-2014",B98="2014-2015",B98="2015-2016"),IF(AND(MROUND(S98,10)&lt;=500000,MROUND(S98,10)&lt;&gt;0),IF(AX98&lt;=2000, AX98,2000),0), IF(B98="2016-2017",IF(AND(MROUND(S98,10)&lt;=500000, MROUND(S98,10)&lt;&gt;0),IF(AX98&lt;=5000, AX98,5000),0), IF(OR(B98="2017-2018",B98="2018-2019"),IF(AND(MROUND(S98,10)&lt;=350000,MROUND(S98,10)&lt;&gt;0),IF(AX98&lt;=2500, AX98,2500),0), IF(OR(B98="2019-2020",B98="2020-2021",B98="2021-2022",B98="2022-2023",AND(B98="2023-2024",'Basic Information'!$AG$21="Yes"),AND(B98="2024-2025",'Basic Information'!$AG$24="Yes")),IF(AND(MROUND(S98,10)&lt;=500000,MROUND(S98,10)&lt;&gt;0),IF(AX98&lt;=12500, AX98,12500),0), IF(OR(AND(B98="2023-2024",'Basic Information'!$AG$21="No")),IF(AND(MROUND(S98,10)&lt;=700000,MROUND(S98,10)&lt;&gt;0),IF(AX98&lt;=25000, AX98,25000),IF(AND(MROUND(S98,10)&lt;&gt;0,(MROUND(S98,10)-700000)&lt;= AX98), AX98-(MROUND(S98,10)-700000),0)), IF(OR(AND(B98="2024-2025",'Basic Information'!$AG$24="No")),IF(AND(MROUND(S98,10)&lt;=700000,MROUND(S98,10)&lt;&gt;0),IF(AX98&lt;=20000, AX98,20000),IF(AND(MROUND(S98,10)&lt;&gt;0,(MROUND(S98,10)-700000)&lt;= AX98), AX98-(MROUND(S98,10)-700000),0)),0))))))</f>
        <v>0</v>
      </c>
      <c r="AZ98" s="6">
        <f t="shared" si="0"/>
        <v>0</v>
      </c>
      <c r="BA98" s="6">
        <f t="shared" si="7"/>
        <v>0</v>
      </c>
    </row>
    <row r="99" spans="2:53" x14ac:dyDescent="0.3">
      <c r="B99" s="452"/>
      <c r="C99" s="453"/>
      <c r="D99" s="453"/>
      <c r="E99" s="453"/>
      <c r="F99" s="454"/>
      <c r="G99" s="455"/>
      <c r="H99" s="456"/>
      <c r="I99" s="456"/>
      <c r="J99" s="456"/>
      <c r="K99" s="456"/>
      <c r="L99" s="457"/>
      <c r="M99" s="455"/>
      <c r="N99" s="456"/>
      <c r="O99" s="456"/>
      <c r="P99" s="456"/>
      <c r="Q99" s="456"/>
      <c r="R99" s="457"/>
      <c r="S99" s="458">
        <f t="shared" si="1"/>
        <v>0</v>
      </c>
      <c r="T99" s="459"/>
      <c r="U99" s="459"/>
      <c r="V99" s="459"/>
      <c r="W99" s="459"/>
      <c r="X99" s="460"/>
      <c r="Y99" s="458">
        <f t="shared" si="2"/>
        <v>0</v>
      </c>
      <c r="Z99" s="459"/>
      <c r="AA99" s="459"/>
      <c r="AB99" s="459"/>
      <c r="AC99" s="459"/>
      <c r="AD99" s="460"/>
      <c r="AE99" s="458">
        <f t="shared" si="3"/>
        <v>0</v>
      </c>
      <c r="AF99" s="459"/>
      <c r="AG99" s="459"/>
      <c r="AH99" s="459"/>
      <c r="AI99" s="459"/>
      <c r="AJ99" s="461"/>
      <c r="AK99" s="462">
        <f t="shared" si="4"/>
        <v>0</v>
      </c>
      <c r="AL99" s="463"/>
      <c r="AM99" s="463"/>
      <c r="AN99" s="463"/>
      <c r="AO99" s="463"/>
      <c r="AP99" s="464"/>
      <c r="AQ99" s="36" t="str">
        <f t="shared" si="8"/>
        <v/>
      </c>
      <c r="AT99" s="6">
        <f>IF( AND(OR(B99="2005-2006",B99="2006-2007"),$U$22&lt;&gt;"Female"),IF( MROUND(G99,10)&lt;= 100000, 0, IF(AND(MROUND(G99,10)&gt; 100000,MROUND(G99,10)&lt;= 150000),  ROUND(ABS(MROUND(G99,10)- 100000)*0.1,0), IF(AND(MROUND(G99,10)&gt; 150000, MROUND(G99,10)&lt;= 250000), ROUND(5000+ ABS(MROUND(G99,10)- 150000)*0.2,0),IF(MROUND(G99,10)&gt; 250000,  ROUND(25000+ABS(MROUND(G99,10)- 250000)*0.3,0),  0)))),IF(AND(OR(B99="2005-2006",B99="2006-2007"),$U$22="Female"),IF(MROUND(G99,10)&lt;= 135000, 0, IF(AND(MROUND(G99,10)&gt; 135000, MROUND(G99,10)&lt;= 150000), ROUND(ABS(MROUND(G99,10)- 135000)*0.1,0), IF(AND(MROUND(G99,10)&gt; 150000, MROUND(G99,10)&lt;= 250000), ROUND(1500+ ABS(MROUND(G99,10)- 150000)*0.2,0),  IF(MROUND(G99,10)&gt; 250000, ROUND(21500+ABS(MROUND(G99,10)- 250000)*0.3,0),0)))),IF(AND(B99="2007-2008",$U$22&lt;&gt;"Female"), IF(MROUND(G99,10)&lt;= 110000,  0,  IF(AND(MROUND(G99,10)&gt; 110000, MROUND(G99,10)&lt;= 150000), ROUND(ABS(MROUND(G99,10)- 110000)*0.1,0),  IF(AND(MROUND(G99,10)&gt; 150000, MROUND(G99,10)&lt;= 250000),  ROUND(4000+ ABS(MROUND(G99,10)- 150000)*0.2,0),   IF(MROUND(G99,10)&gt; 250000,   ROUND(24000+ABS(MROUND(G99,10)- 250000)*0.3,0),0)))),IF(AND(B99="2007-2008",$U$22="Female"), IF(MROUND(G99,10)&lt;= 145000, 0, IF(AND(MROUND(G99,10)&gt; 145000, MROUND(G99,10)&lt;= 150000),     ROUND(ABS(MROUND(G99,10)- 145000)*0.1,0),  IF(AND(MROUND(G99,10)&gt; 150000, MROUND(G99,10)&lt;= 250000),  ROUND(500+ ABS(MROUND(G99,10)- 150000)*0.2,0),  IF(MROUND(G99,10)&gt; 250000, ROUND(20500+ABS(MROUND(G99,10)- 250000)*0.3,0),0)))), IF(AND(B99="2008-2009",$U$22&lt;&gt;"Female"), IF(MROUND(G99,10)&lt;= 150000, 0, IF(AND(MROUND(G99,10)&gt; 150000, MROUND(G99,10)&lt;= 300000), ROUND(ABS(MROUND(G99,10)- 150000)*0.1,0), IF(AND(MROUND(G99,10)&gt; 300000, MROUND(G99,10)&lt;= 500000),  ROUND(15000+ ABS(MROUND(G99,10)- 300000)*0.2,0),  IF(MROUND(G99,10)&gt; 500000,  ROUND(55000+ABS(MROUND(G99,10)- 500000)*0.3,0),0)))), IF(AND(B99="2008-2009",$U$22="Female"), IF(MROUND(G99,10)&lt;= 180000, 0, IF(AND(MROUND(G99,10)&gt; 180000, MROUND(G99,10)&lt;= 300000), ROUND(ABS(MROUND(G99,10)- 180000)*0.1,0), IF(AND(MROUND(G99,10)&gt; 300000, MROUND(G99,10)&lt;= 500000), ROUND(12000+ ABS(MROUND(G99,10)- 300000)*0.2,0),  IF(MROUND(G99,10)&gt; 500000,  ROUND(52000+ABS(MROUND(G99,10)- 500000)*0.3,0),0)))), IF(AND(B99="2009-2010", $U$22&lt;&gt;"Female"), IF(MROUND(G99,10)&lt;= 160000, 0, IF(AND(MROUND(G99,10)&gt; 160000, MROUND(G99,10)&lt;= 300000),ROUND(ABS(MROUND(G99,10)- 160000)*0.1,0), IF(AND(MROUND(G99,10)&gt; 300000, MROUND(G99,10)&lt;= 500000),ROUND(14000+ ABS(MROUND(G99,10)- 300000)*0.2,0),  IF(MROUND(G99,10)&gt; 500000, ROUND(54000+ABS(MROUND(G99,10)- 500000)*0.3,0),0)))),IF(AND(B99="2009-2010",$U$22="Female"), IF(MROUND(G99,10)&lt;= 190000, 0, IF(AND(MROUND(G99,10)&gt; 190000, MROUND(G99,10)&lt;= 300000),ROUND(ABS(MROUND(G99,10)- 190000)*0.1,0), IF(AND(MROUND(G99,10)&gt; 300000, MROUND(G99,10)&lt;= 500000), ROUND(11000+ ABS(MROUND(G99,10)- 300000)*0.2,0),IF(MROUND(G99,10)&gt; 500000,  ROUND(51000+ABS(MROUND(G99,10)- 500000)*0.3,0),0)))), IF(AND(B99="2010-2011",$U$22&lt;&gt;"Female"), IF(MROUND(G99,10)&lt;= 160000, 0, IF(AND(MROUND(G99,10)&gt; 160000, MROUND(G99,10)&lt;= 500000), ROUND(ABS(MROUND(G99,10)- 160000)*0.1,0), IF(AND(MROUND(G99,10)&gt; 500000, MROUND(G99,10)&lt;= 800000), ROUND(34000+ ABS(MROUND(G99,10)- 500000)*0.2,0),  IF(MROUND(G99,10)&gt; 800000,  ROUND(94000+ABS(MROUND(G99,10)- 800000)*0.3,0),0)))), IF(AND(OR(B99="2010-2011",B99="2011-2012"),$U$22="Female"), IF(MROUND(G99,10)&lt;= 190000, 0, IF(AND(MROUND(G99,10)&gt; 190000, MROUND(G99,10)&lt;= 500000), ROUND(ABS(MROUND(G99,10)- 190000)*0.1,0), IF(AND(MROUND(G99,10)&gt; 500000, MROUND(G99,10)&lt;= 800000),  ROUND(31000+ ABS(MROUND(G99,10)- 500000)*0.2,0),  IF(MROUND(G99,10)&gt; 800000,  ROUND(91000+ABS(MROUND(G99,10)- 800000)*0.3,0),0)))), IF(AND(B99="2011-2012", $U$22&lt;&gt;"Female"), IF(MROUND(G99,10)&lt;= 180000, 0, IF(AND(MROUND(G99,10)&gt; 180000, MROUND(G99,10)&lt;= 500000), ROUND(ABS(MROUND(G99,10)- 180000)*0.1,0), IF(AND(MROUND(G99,10)&gt; 500000, MROUND(G99,10)&lt;= 800000),  ROUND(32000+ ABS(MROUND(G99,10)- 500000)*0.2,0),  IF(MROUND(G99,10)&gt; 800000,  ROUND(92000+ABS(MROUND(G99,10)- 800000)*0.3,0),0)))), IF(OR(B99="2012-2013",B99="2013-2014"), IF(MROUND(G99,10)&lt;= 200000, 0, IF(AND(MROUND(G99,10)&gt; 200000, MROUND(G99,10)&lt;= 500000), ROUND(ABS(MROUND(G99,10)- 200000)*0.1,0), IF(AND(MROUND(G99,10)&gt; 500000, MROUND(G99,10)&lt;= 1000000),  ROUND(30000+ ABS(MROUND(G99,10)- 500000)*0.2,0),  IF(MROUND(G99,10)&gt; 1000000,  ROUND(130000+ABS(MROUND(G99,10)- 1000000)*0.3,0),0)))), IF(OR(B99="2014-2015", B99="2015-2016",B99="2016-2017"), IF(MROUND(G99,10)&lt;= 250000, 0, IF(AND(MROUND(G99,10)&gt; 250000, MROUND(G99,10)&lt;= 500000), ROUND(ABS(MROUND(G99,10)- 250000)*0.1,0), IF(AND(MROUND(G99,10)&gt; 500000, MROUND(G99,10)&lt;= 1000000),  ROUND(25000+ ABS(MROUND(G99,10)- 500000)*0.2,0),  IF(MROUND(G99,10)&gt; 1000000,  ROUND(125000+ABS(MROUND(G99,10)- 1000000)*0.3,0), 0)))), IF(OR(B99="2017-2018",B99="2018-2019",B99="2019-2020",AND(B99="2020-2021",'Basic Information'!$AG$12="No"),AND(B99="2021-2022",'Basic Information'!$AG$15="No"),AND(B99="2022-2023",'Basic Information'!$AG$18="No"),AND(B99="2023-2024",'Basic Information'!$AG$21="Yes"),AND(B99="2024-2025",'Basic Information'!$AG$24="Yes")), IF(MROUND(G99,10)&lt;= 250000, 0, IF(AND(MROUND(G99,10)&gt; 250000, MROUND(G99,10)&lt;= 500000), ROUND(ABS(MROUND(G99,10)- 250000)*0.05,0), IF(AND(MROUND(G99,10)&gt; 500000, MROUND(G99,10)&lt;= 1000000),  ROUND(12500+ ABS(MROUND(G99,10)- 500000)*0.2,0),  IF(MROUND(G99,10)&gt; 1000000,  ROUND(112500+ABS(MROUND(G99,10)- 1000000)*0.3,0), 0)))),IF(OR(AND(B99="2020-2021",'Basic Information'!$AG$12="Yes"),AND(B99="2021-2022",'Basic Information'!$AG$15="Yes"),AND(B99="2022-2023",'Basic Information'!$AG$18="Yes")), IF(MROUND(G99,10)&lt;= 250000, 0, IF(AND(MROUND(G99,10)&gt; 250000, MROUND(G99,10)&lt;= 500000), ROUND(ABS(MROUND(G99,10)- 250000)*0.05,0), IF(AND(MROUND(G99,10)&gt; 500000, MROUND(G99,10)&lt;= 750000),  ROUND(12500+ ABS(MROUND(G99,10)- 500000)*0.1,0), IF(AND(MROUND(G99,10)&gt; 750000, MROUND(G99,10)&lt;= 1000000),  ROUND(37500+ ABS(MROUND(G99,10)- 750000)*0.15,0),IF(AND(MROUND(G99,10)&gt; 1000000, MROUND(G99,10)&lt;= 1250000),  ROUND(75000+ ABS(MROUND(G99,10)- 1000000)*0.2,0),IF(AND(MROUND(G99,10)&gt; 1250000, MROUND(G99,10)&lt;= 1500000),  ROUND(125000+ ABS(MROUND(G99,10)- 1250000)*0.25,0), IF(MROUND(G99,10)&gt; 1500000,  ROUND(187500+ABS(MROUND(G99,10)- 1500000)*0.3,0), 0))))))),IF(AND(B99="2023-2024",'Basic Information'!$AG$21="No"), IF(MROUND(G99,10)&lt;= 300000, 0, IF(AND(MROUND(G99,10)&gt; 300000, MROUND(G99,10)&lt;= 600000), ROUND(ABS(MROUND(G99,10)- 300000)*0.05,0), IF(AND(MROUND(G99,10)&gt; 600000, MROUND(G99,10)&lt;= 900000),  ROUND(15000+ ABS(MROUND(G99,10)- 600000)*0.1,0), IF(AND(MROUND(G99,10)&gt; 900000, MROUND(G99,10)&lt;= 1200000),  ROUND(45000+ ABS(MROUND(G99,10)- 900000)*0.15,0),IF(AND(MROUND(G99,10)&gt; 1200000, MROUND(G99,10)&lt;= 1500000),  ROUND(90000+ ABS(MROUND(G99,10)- 1200000)*0.2,0), IF(MROUND(G99,10)&gt; 1500000,  ROUND(150000+ABS(MROUND(G99,10)- 1500000)*0.3,0), 0)))))),IF(AND(B99="2024-2025",'Basic Information'!$AG$24="No"), IF(MROUND(G99,10)&lt;= 300000, 0, IF(AND(MROUND(G99,10)&gt; 300000, MROUND(G99,10)&lt;= 700000), ROUND(ABS(MROUND(G99,10)- 300000)*0.05,0), IF(AND(MROUND(G99,10)&gt; 700000, MROUND(G99,10)&lt;= 1000000),  ROUND(20000+ ABS(MROUND(G99,10)- 700000)*0.1,0), IF(AND(MROUND(G99,10)&gt; 1000000, MROUND(G99,10)&lt;= 1200000),  ROUND(50000+ ABS(MROUND(G99,10)- 1000000)*0.15,0),IF(AND(MROUND(G99,10)&gt; 1200000, MROUND(G99,10)&lt;= 1500000),  ROUND(80000+ ABS(MROUND(G99,10)- 1200000)*0.2,0), IF(MROUND(G99,10)&gt; 1500000,  ROUND(140000+ABS(MROUND(G99,10)- 1500000)*0.3,0), 0)))))),0)))))))))))))))))</f>
        <v>0</v>
      </c>
      <c r="AU99" s="6">
        <f>IF(OR(B99="2013-2014",B99="2014-2015",B99="2015-2016"),IF(AND(MROUND(G99,10)&lt;=500000,MROUND(G99,10)&lt;&gt;0),IF(AT99&lt;=2000, AT99,2000),0), IF(B99="2016-2017",IF(AND(MROUND(G99,10)&lt;=500000,MROUND(G99,10)&lt;&gt;0),IF(AT99&lt;=5000, AT99,5000),0), IF(OR(B99="2017-2018",B99="2018-2019"),IF(AND(MROUND(G99,10)&lt;=350000,MROUND(G99,10)&lt;&gt;0),IF(AT99&lt;=2500, AT99,2500),0), IF(OR(B99="2019-2020",B99="2020-2021",B99="2021-2022",B99="2022-2023",AND(B99="2023-2024",'Basic Information'!$AG$21="Yes"),AND(B99="2024-2025",'Basic Information'!$AG$24="Yes")),IF(AND(MROUND(G99,10)&lt;=500000,MROUND(G99,10)&lt;&gt;0),IF(AT99&lt;=12500, AT99,12500),0), IF(OR(AND(B99="2023-2024",'Basic Information'!$AG$21="No")),IF(AND(MROUND(G99,10)&lt;=700000,MROUND(G99,10)&lt;&gt;0),IF(AT99&lt;=25000, AT99,25000),IF(AND(MROUND(G99,10)&lt;&gt;0,(MROUND(G99,10)-700000)&lt;=AT99),AT99-(MROUND(G99,10)-700000),0)), IF(OR(AND(B99="2024-2025",'Basic Information'!$AG$24="No")),IF(AND(MROUND(G99,10)&lt;=700000,MROUND(G99,10)&lt;&gt;0),IF(AT99&lt;=20000, AT99,20000),IF(AND(MROUND(G99,10)&lt;&gt;0,(MROUND(G99,10)-700000)&lt;=AT99),AT99-(MROUND(G99,10)-700000),0)),0))))))</f>
        <v>0</v>
      </c>
      <c r="AV99" s="6">
        <f t="shared" si="5"/>
        <v>0</v>
      </c>
      <c r="AW99" s="6">
        <f t="shared" si="6"/>
        <v>0</v>
      </c>
      <c r="AX99" s="6">
        <f>IF( AND(OR(B99="2005-2006",B99="2006-2007"),$U$22&lt;&gt;"Female"),IF( MROUND(S99,10)&lt;= 100000, 0, IF(AND(MROUND(S99,10)&gt; 100000,MROUND(S99,10)&lt;= 150000),  ROUND(ABS(MROUND(S99,10)- 100000)*0.1,0), IF(AND(MROUND(S99,10)&gt; 150000, MROUND(S99,10)&lt;= 250000), ROUND(5000+ ABS(MROUND(S99,10)- 150000)*0.2,0),IF(MROUND(S99,10)&gt; 250000,  ROUND(25000+ABS(MROUND(S99,10)- 250000)*0.3,0),  0)))),IF(AND(OR(B99="2005-2006",B99="2006-2007"),$U$22="Female"),IF(MROUND(S99,10)&lt;= 135000, 0, IF(AND(MROUND(S99,10)&gt; 135000, MROUND(S99,10)&lt;= 150000), ROUND(ABS(MROUND(S99,10)- 135000)*0.1,0), IF(AND(MROUND(S99,10)&gt; 150000, MROUND(S99,10)&lt;= 250000), ROUND(1500+ ABS(MROUND(S99,10)- 150000)*0.2,0),  IF(MROUND(S99,10)&gt; 250000, ROUND(21500+ABS(MROUND(S99,10)- 250000)*0.3,0),0)))),IF(AND(B99="2007-2008",$U$22&lt;&gt;"Female"), IF(MROUND(S99,10)&lt;= 110000,  0,  IF(AND(MROUND(S99,10)&gt; 110000, MROUND(S99,10)&lt;= 150000),     ROUND(ABS(MROUND(S99,10)- 110000)*0.1,0),  IF(AND(MROUND(S99,10)&gt; 150000, MROUND(S99,10)&lt;= 250000),  ROUND(4000+ ABS(MROUND(S99,10)- 150000)*0.2,0),   IF(MROUND(S99,10)&gt; 250000,   ROUND(24000+ABS(MROUND(S99,10)- 250000)*0.3,0),0)))),IF(AND(B99="2007-2008",$U$22="Female"), IF(MROUND(S99,10)&lt;= 145000, 0, IF(AND(MROUND(S99,10)&gt; 145000, MROUND(S99,10)&lt;= 150000),     ROUND(ABS(MROUND(S99,10)- 145000)*0.1,0),  IF(AND(MROUND(S99,10)&gt; 150000, MROUND(S99,10)&lt;= 250000),  ROUND(500+ ABS(MROUND(S99,10)- 150000)*0.2,0),  IF(MROUND(S99,10)&gt; 250000, ROUND(20500+ABS(MROUND(S99,10)- 250000)*0.3,0),0)))), IF(AND(B99="2008-2009",$U$22&lt;&gt;"Female"), IF(MROUND(S99,10)&lt;= 150000, 0, IF(AND(MROUND(S99,10)&gt; 150000, MROUND(S99,10)&lt;= 300000), ROUND(ABS(MROUND(S99,10)- 150000)*0.1,0), IF(AND(MROUND(S99,10)&gt; 300000, MROUND(S99,10)&lt;= 500000),  ROUND(15000+ ABS(MROUND(S99,10)- 300000)*0.2,0),  IF(MROUND(S99,10)&gt; 500000,  ROUND(55000+ABS(MROUND(S99,10)- 500000)*0.3,0),0)))), IF(AND(B99="2008-2009",$U$22="Female"), IF(MROUND(S99,10)&lt;= 180000, 0, IF(AND(MROUND(S99,10)&gt; 180000, MROUND(S99,10)&lt;= 300000), ROUND(ABS(MROUND(S99,10)- 180000)*0.1,0), IF(AND(MROUND(S99,10)&gt; 300000, MROUND(S99,10)&lt;= 500000), ROUND(12000+ ABS(MROUND(S99,10)- 300000)*0.2,0),  IF(MROUND(S99,10)&gt; 500000,  ROUND(52000+ABS(MROUND(S99,10)- 500000)*0.3,0),0)))), IF(AND(B99="2009-2010", $U$22&lt;&gt;"Female"), IF(MROUND(S99,10)&lt;= 160000, 0, IF(AND(MROUND(S99,10)&gt; 160000, MROUND(S99,10)&lt;= 300000),ROUND(ABS(MROUND(S99,10)- 160000)*0.1,0), IF(AND(MROUND(S99,10)&gt; 300000, MROUND(S99,10)&lt;= 500000),ROUND(14000+ ABS(MROUND(S99,10)- 300000)*0.2,0),  IF(MROUND(S99,10)&gt; 500000, ROUND(54000+ABS(MROUND(S99,10)- 500000)*0.3,0),0)))),IF(AND(B99="2009-2010",$U$22="Female"), IF(MROUND(S99,10)&lt;= 190000, 0, IF(AND(MROUND(S99,10)&gt; 190000, MROUND(S99,10)&lt;= 300000),ROUND(ABS(MROUND(S99,10)- 190000)*0.1,0), IF(AND(MROUND(S99,10)&gt; 300000, MROUND(S99,10)&lt;= 500000), ROUND(11000+ ABS(MROUND(S99,10)- 300000)*0.2,0),IF(MROUND(S99,10)&gt; 500000,  ROUND(51000+ABS(MROUND(S99,10)- 500000)*0.3,0),0)))), IF(AND(B99="2010-2011",$U$22&lt;&gt;"Female"), IF(MROUND(S99,10)&lt;= 160000, 0, IF(AND(MROUND(S99,10)&gt; 160000, MROUND(S99,10)&lt;= 500000), ROUND(ABS(MROUND(S99,10)- 160000)*0.1,0), IF(AND(MROUND(S99,10)&gt; 500000, MROUND(S99,10)&lt;= 800000), ROUND(34000+ ABS(MROUND(S99,10)- 500000)*0.2,0),  IF(MROUND(S99,10)&gt; 800000,  ROUND(94000+ABS(MROUND(S99,10)- 800000)*0.3,0),0)))), IF(AND(OR(B99="2010-2011",B99="2011-2012"),$U$22="Female"), IF(MROUND(S99,10)&lt;= 190000, 0, IF(AND(MROUND(S99,10)&gt; 190000, MROUND(S99,10)&lt;= 500000), ROUND(ABS(MROUND(S99,10)- 190000)*0.1,0), IF(AND(MROUND(S99,10)&gt; 500000, MROUND(S99,10)&lt;= 800000),  ROUND(31000+ ABS(MROUND(S99,10)- 500000)*0.2,0),  IF(MROUND(S99,10)&gt; 800000,  ROUND(91000+ABS(MROUND(S99,10)- 800000)*0.3,0),0)))), IF(AND(B99="2011-2012", $U$22&lt;&gt;"Female"), IF(MROUND(S99,10)&lt;= 180000, 0, IF(AND(MROUND(S99,10)&gt; 180000, MROUND(S99,10)&lt;= 500000), ROUND(ABS(MROUND(S99,10)- 180000)*0.1,0), IF(AND(MROUND(S99,10)&gt; 500000, MROUND(S99,10)&lt;= 800000),  ROUND(32000+ ABS(MROUND(S99,10)- 500000)*0.2,0),  IF(MROUND(S99,10)&gt; 800000,  ROUND(92000+ABS(MROUND(S99,10)- 800000)*0.3,0),0)))), IF(OR(B99="2012-2013",B99="2013-2014"), IF(MROUND(S99,10)&lt;= 200000, 0, IF(AND(MROUND(S99,10)&gt; 200000, MROUND(S99,10)&lt;= 500000), ROUND(ABS(MROUND(S99,10)- 200000)*0.1,0), IF(AND(MROUND(S99,10)&gt; 500000, MROUND(S99,10)&lt;= 1000000),  ROUND(30000+ ABS(MROUND(S99,10)- 500000)*0.2,0),  IF(MROUND(S99,10)&gt; 1000000,  ROUND(130000+ABS(MROUND(S99,10)- 1000000)*0.3,0),0)))), IF(OR(B99="2014-2015", B99="2015-2016",B99="2016-2017"), IF(MROUND(S99,10)&lt;= 250000, 0, IF(AND(MROUND(S99,10)&gt; 250000, MROUND(S99,10)&lt;= 500000), ROUND(ABS(MROUND(S99,10)- 250000)*0.1,0), IF(AND(MROUND(S99,10)&gt; 500000, MROUND(S99,10)&lt;= 1000000),  ROUND(25000+ ABS(MROUND(S99,10)- 500000)*0.2,0),  IF(MROUND(S99,10)&gt; 1000000,  ROUND(125000+ABS(MROUND(S99,10)- 1000000)*0.3,0), 0)))),IF(OR(B99="2017-2018",B99="2018-2019",B99="2019-2020",AND(B99="2020-2021",'Basic Information'!$AG$12="No"),AND(B99="2021-2022",'Basic Information'!$AG$15="No"),AND(B99="2022-2023",'Basic Information'!$AG$18="No"),AND(B99="2023-2024",'Basic Information'!$AG$21="Yes"),AND(B99="2024-2025",'Basic Information'!$AG$24="Yes")), IF(MROUND(S99,10)&lt;= 250000, 0, IF(AND(MROUND(S99,10)&gt; 250000, MROUND(S99,10)&lt;= 500000), ROUND(ABS(MROUND(S99,10)- 250000)*0.05,0), IF(AND(MROUND(S99,10)&gt; 500000, MROUND(S99,10)&lt;= 1000000),  ROUND(12500+ ABS(MROUND(S99,10)- 500000)*0.2,0),  IF(MROUND(S99,10)&gt; 1000000,  ROUND(112500+ABS(MROUND(S99,10)- 1000000)*0.3,0), 0)))),IF(OR(AND(B99="2020-2021",'Basic Information'!$AG$12="Yes"),AND(B99="2021-2022",'Basic Information'!$AG$15="Yes"),AND(B99="2022-2023",'Basic Information'!$AG$18="Yes")), IF(MROUND(S99,10)&lt;= 250000, 0, IF(AND(MROUND(S99,10)&gt; 250000, MROUND(S99,10)&lt;= 500000), ROUND(ABS(MROUND(S99,10)- 250000)*0.05,0), IF(AND(MROUND(S99,10)&gt; 500000, MROUND(S99,10)&lt;= 750000),  ROUND(12500+ ABS(MROUND(S99,10)- 500000)*0.1,0), IF(AND(MROUND(S99,10)&gt; 750000, MROUND(S99,10)&lt;= 1000000),  ROUND(37500+ ABS(MROUND(S99,10)- 750000)*0.15,0),IF(AND(MROUND(S99,10)&gt; 1000000, MROUND(S99,10)&lt;= 1250000),  ROUND(75000+ ABS(MROUND(S99,10)- 1000000)*0.2,0),IF(AND(MROUND(S99,10)&gt; 1250000, MROUND(S99,10)&lt;= 1500000),  ROUND(125000+ ABS(MROUND(S99,10)- 1250000)*0.25,0), IF(MROUND(S99,10)&gt; 1500000,  ROUND(187500+ABS(MROUND(S99,10)- 1500000)*0.3,0), 0))))))),IF(AND(B99="2023-2024",'Basic Information'!$AG$21="No"), IF(MROUND(S99,10)&lt;= 300000, 0, IF(AND(MROUND(S99,10)&gt; 300000, MROUND(S99,10)&lt;= 600000), ROUND(ABS(MROUND(S99,10)- 300000)*0.05,0), IF(AND(MROUND(S99,10)&gt; 600000, MROUND(S99,10)&lt;= 900000),  ROUND(15000+ ABS(MROUND(S99,10)- 600000)*0.1,0), IF(AND(MROUND(S99,10)&gt; 900000, MROUND(S99,10)&lt;= 1200000),  ROUND(45000+ ABS(MROUND(S99,10)- 900000)*0.15,0),IF(AND(MROUND(S99,10)&gt; 1200000, MROUND(S99,10)&lt;= 1500000),  ROUND(90000+ ABS(MROUND(S99,10)- 1200000)*0.2,0), IF(MROUND(S99,10)&gt; 1500000,  ROUND(150000+ABS(MROUND(S99,10)- 1500000)*0.3,0), 0)))))),IF(AND(B99="2024-2025",'Basic Information'!$AG$24="No"), IF(MROUND(S99,10)&lt;= 300000, 0, IF(AND(MROUND(S99,10)&gt; 300000, MROUND(S99,10)&lt;= 700000), ROUND(ABS(MROUND(S99,10)- 300000)*0.05,0), IF(AND(MROUND(S99,10)&gt; 700000, MROUND(S99,10)&lt;= 1000000),  ROUND(20000+ ABS(MROUND(S99,10)- 700000)*0.1,0), IF(AND(MROUND(S99,10)&gt; 1000000, MROUND(S99,10)&lt;= 1200000),  ROUND(50000+ ABS(MROUND(S99,10)- 1000000)*0.15,0),IF(AND(MROUND(S99,10)&gt; 1200000, MROUND(S99,10)&lt;= 1500000),  ROUND(80000+ ABS(MROUND(S99,10)- 1200000)*0.2,0), IF(MROUND(S99,10)&gt; 1500000,  ROUND(140000+ABS(MROUND(S99,10)- 1500000)*0.3,0), 0)))))),0)))))))))))))))))</f>
        <v>0</v>
      </c>
      <c r="AY99" s="6">
        <f>IF(OR(B99="2013-2014",B99="2014-2015",B99="2015-2016"),IF(AND(MROUND(S99,10)&lt;=500000,MROUND(S99,10)&lt;&gt;0),IF(AX99&lt;=2000, AX99,2000),0), IF(B99="2016-2017",IF(AND(MROUND(S99,10)&lt;=500000, MROUND(S99,10)&lt;&gt;0),IF(AX99&lt;=5000, AX99,5000),0), IF(OR(B99="2017-2018",B99="2018-2019"),IF(AND(MROUND(S99,10)&lt;=350000,MROUND(S99,10)&lt;&gt;0),IF(AX99&lt;=2500, AX99,2500),0), IF(OR(B99="2019-2020",B99="2020-2021",B99="2021-2022",B99="2022-2023",AND(B99="2023-2024",'Basic Information'!$AG$21="Yes"),AND(B99="2024-2025",'Basic Information'!$AG$24="Yes")),IF(AND(MROUND(S99,10)&lt;=500000,MROUND(S99,10)&lt;&gt;0),IF(AX99&lt;=12500, AX99,12500),0), IF(OR(AND(B99="2023-2024",'Basic Information'!$AG$21="No")),IF(AND(MROUND(S99,10)&lt;=700000,MROUND(S99,10)&lt;&gt;0),IF(AX99&lt;=25000, AX99,25000),IF(AND(MROUND(S99,10)&lt;&gt;0,(MROUND(S99,10)-700000)&lt;= AX99), AX99-(MROUND(S99,10)-700000),0)), IF(OR(AND(B99="2024-2025",'Basic Information'!$AG$24="No")),IF(AND(MROUND(S99,10)&lt;=700000,MROUND(S99,10)&lt;&gt;0),IF(AX99&lt;=20000, AX99,20000),IF(AND(MROUND(S99,10)&lt;&gt;0,(MROUND(S99,10)-700000)&lt;= AX99), AX99-(MROUND(S99,10)-700000),0)),0))))))</f>
        <v>0</v>
      </c>
      <c r="AZ99" s="6">
        <f t="shared" si="0"/>
        <v>0</v>
      </c>
      <c r="BA99" s="6">
        <f t="shared" si="7"/>
        <v>0</v>
      </c>
    </row>
    <row r="100" spans="2:53" x14ac:dyDescent="0.3">
      <c r="B100" s="452"/>
      <c r="C100" s="453"/>
      <c r="D100" s="453"/>
      <c r="E100" s="453"/>
      <c r="F100" s="454"/>
      <c r="G100" s="455"/>
      <c r="H100" s="456"/>
      <c r="I100" s="456"/>
      <c r="J100" s="456"/>
      <c r="K100" s="456"/>
      <c r="L100" s="457"/>
      <c r="M100" s="455"/>
      <c r="N100" s="456"/>
      <c r="O100" s="456"/>
      <c r="P100" s="456"/>
      <c r="Q100" s="456"/>
      <c r="R100" s="457"/>
      <c r="S100" s="458">
        <f t="shared" si="1"/>
        <v>0</v>
      </c>
      <c r="T100" s="459"/>
      <c r="U100" s="459"/>
      <c r="V100" s="459"/>
      <c r="W100" s="459"/>
      <c r="X100" s="460"/>
      <c r="Y100" s="458">
        <f t="shared" si="2"/>
        <v>0</v>
      </c>
      <c r="Z100" s="459"/>
      <c r="AA100" s="459"/>
      <c r="AB100" s="459"/>
      <c r="AC100" s="459"/>
      <c r="AD100" s="460"/>
      <c r="AE100" s="458">
        <f t="shared" si="3"/>
        <v>0</v>
      </c>
      <c r="AF100" s="459"/>
      <c r="AG100" s="459"/>
      <c r="AH100" s="459"/>
      <c r="AI100" s="459"/>
      <c r="AJ100" s="461"/>
      <c r="AK100" s="462">
        <f t="shared" si="4"/>
        <v>0</v>
      </c>
      <c r="AL100" s="463"/>
      <c r="AM100" s="463"/>
      <c r="AN100" s="463"/>
      <c r="AO100" s="463"/>
      <c r="AP100" s="464"/>
      <c r="AQ100" s="36" t="str">
        <f t="shared" si="8"/>
        <v/>
      </c>
      <c r="AT100" s="6">
        <f>IF( AND(OR(B100="2005-2006",B100="2006-2007"),$U$22&lt;&gt;"Female"),IF( MROUND(G100,10)&lt;= 100000, 0, IF(AND(MROUND(G100,10)&gt; 100000,MROUND(G100,10)&lt;= 150000),  ROUND(ABS(MROUND(G100,10)- 100000)*0.1,0), IF(AND(MROUND(G100,10)&gt; 150000, MROUND(G100,10)&lt;= 250000), ROUND(5000+ ABS(MROUND(G100,10)- 150000)*0.2,0),IF(MROUND(G100,10)&gt; 250000,  ROUND(25000+ABS(MROUND(G100,10)- 250000)*0.3,0),  0)))),IF(AND(OR(B100="2005-2006",B100="2006-2007"),$U$22="Female"),IF(MROUND(G100,10)&lt;= 135000, 0, IF(AND(MROUND(G100,10)&gt; 135000, MROUND(G100,10)&lt;= 150000), ROUND(ABS(MROUND(G100,10)- 135000)*0.1,0), IF(AND(MROUND(G100,10)&gt; 150000, MROUND(G100,10)&lt;= 250000), ROUND(1500+ ABS(MROUND(G100,10)- 150000)*0.2,0),  IF(MROUND(G100,10)&gt; 250000, ROUND(21500+ABS(MROUND(G100,10)- 250000)*0.3,0),0)))),IF(AND(B100="2007-2008",$U$22&lt;&gt;"Female"), IF(MROUND(G100,10)&lt;= 110000,  0,  IF(AND(MROUND(G100,10)&gt; 110000, MROUND(G100,10)&lt;= 150000), ROUND(ABS(MROUND(G100,10)- 110000)*0.1,0),  IF(AND(MROUND(G100,10)&gt; 150000, MROUND(G100,10)&lt;= 250000),  ROUND(4000+ ABS(MROUND(G100,10)- 150000)*0.2,0),   IF(MROUND(G100,10)&gt; 250000,   ROUND(24000+ABS(MROUND(G100,10)- 250000)*0.3,0),0)))),IF(AND(B100="2007-2008",$U$22="Female"), IF(MROUND(G100,10)&lt;= 145000, 0, IF(AND(MROUND(G100,10)&gt; 145000, MROUND(G100,10)&lt;= 150000),     ROUND(ABS(MROUND(G100,10)- 145000)*0.1,0),  IF(AND(MROUND(G100,10)&gt; 150000, MROUND(G100,10)&lt;= 250000),  ROUND(500+ ABS(MROUND(G100,10)- 150000)*0.2,0),  IF(MROUND(G100,10)&gt; 250000, ROUND(20500+ABS(MROUND(G100,10)- 250000)*0.3,0),0)))), IF(AND(B100="2008-2009",$U$22&lt;&gt;"Female"), IF(MROUND(G100,10)&lt;= 150000, 0, IF(AND(MROUND(G100,10)&gt; 150000, MROUND(G100,10)&lt;= 300000), ROUND(ABS(MROUND(G100,10)- 150000)*0.1,0), IF(AND(MROUND(G100,10)&gt; 300000, MROUND(G100,10)&lt;= 500000),  ROUND(15000+ ABS(MROUND(G100,10)- 300000)*0.2,0),  IF(MROUND(G100,10)&gt; 500000,  ROUND(55000+ABS(MROUND(G100,10)- 500000)*0.3,0),0)))), IF(AND(B100="2008-2009",$U$22="Female"), IF(MROUND(G100,10)&lt;= 180000, 0, IF(AND(MROUND(G100,10)&gt; 180000, MROUND(G100,10)&lt;= 300000), ROUND(ABS(MROUND(G100,10)- 180000)*0.1,0), IF(AND(MROUND(G100,10)&gt; 300000, MROUND(G100,10)&lt;= 500000), ROUND(12000+ ABS(MROUND(G100,10)- 300000)*0.2,0),  IF(MROUND(G100,10)&gt; 500000,  ROUND(52000+ABS(MROUND(G100,10)- 500000)*0.3,0),0)))), IF(AND(B100="2009-2010", $U$22&lt;&gt;"Female"), IF(MROUND(G100,10)&lt;= 160000, 0, IF(AND(MROUND(G100,10)&gt; 160000, MROUND(G100,10)&lt;= 300000),ROUND(ABS(MROUND(G100,10)- 160000)*0.1,0), IF(AND(MROUND(G100,10)&gt; 300000, MROUND(G100,10)&lt;= 500000),ROUND(14000+ ABS(MROUND(G100,10)- 300000)*0.2,0),  IF(MROUND(G100,10)&gt; 500000, ROUND(54000+ABS(MROUND(G100,10)- 500000)*0.3,0),0)))),IF(AND(B100="2009-2010",$U$22="Female"), IF(MROUND(G100,10)&lt;= 190000, 0, IF(AND(MROUND(G100,10)&gt; 190000, MROUND(G100,10)&lt;= 300000),ROUND(ABS(MROUND(G100,10)- 190000)*0.1,0), IF(AND(MROUND(G100,10)&gt; 300000, MROUND(G100,10)&lt;= 500000), ROUND(11000+ ABS(MROUND(G100,10)- 300000)*0.2,0),IF(MROUND(G100,10)&gt; 500000,  ROUND(51000+ABS(MROUND(G100,10)- 500000)*0.3,0),0)))), IF(AND(B100="2010-2011",$U$22&lt;&gt;"Female"), IF(MROUND(G100,10)&lt;= 160000, 0, IF(AND(MROUND(G100,10)&gt; 160000, MROUND(G100,10)&lt;= 500000), ROUND(ABS(MROUND(G100,10)- 160000)*0.1,0), IF(AND(MROUND(G100,10)&gt; 500000, MROUND(G100,10)&lt;= 800000), ROUND(34000+ ABS(MROUND(G100,10)- 500000)*0.2,0),  IF(MROUND(G100,10)&gt; 800000,  ROUND(94000+ABS(MROUND(G100,10)- 800000)*0.3,0),0)))), IF(AND(OR(B100="2010-2011",B100="2011-2012"),$U$22="Female"), IF(MROUND(G100,10)&lt;= 190000, 0, IF(AND(MROUND(G100,10)&gt; 190000, MROUND(G100,10)&lt;= 500000), ROUND(ABS(MROUND(G100,10)- 190000)*0.1,0), IF(AND(MROUND(G100,10)&gt; 500000, MROUND(G100,10)&lt;= 800000),  ROUND(31000+ ABS(MROUND(G100,10)- 500000)*0.2,0),  IF(MROUND(G100,10)&gt; 800000,  ROUND(91000+ABS(MROUND(G100,10)- 800000)*0.3,0),0)))), IF(AND(B100="2011-2012", $U$22&lt;&gt;"Female"), IF(MROUND(G100,10)&lt;= 180000, 0, IF(AND(MROUND(G100,10)&gt; 180000, MROUND(G100,10)&lt;= 500000), ROUND(ABS(MROUND(G100,10)- 180000)*0.1,0), IF(AND(MROUND(G100,10)&gt; 500000, MROUND(G100,10)&lt;= 800000),  ROUND(32000+ ABS(MROUND(G100,10)- 500000)*0.2,0),  IF(MROUND(G100,10)&gt; 800000,  ROUND(92000+ABS(MROUND(G100,10)- 800000)*0.3,0),0)))), IF(OR(B100="2012-2013",B100="2013-2014"), IF(MROUND(G100,10)&lt;= 200000, 0, IF(AND(MROUND(G100,10)&gt; 200000, MROUND(G100,10)&lt;= 500000), ROUND(ABS(MROUND(G100,10)- 200000)*0.1,0), IF(AND(MROUND(G100,10)&gt; 500000, MROUND(G100,10)&lt;= 1000000),  ROUND(30000+ ABS(MROUND(G100,10)- 500000)*0.2,0),  IF(MROUND(G100,10)&gt; 1000000,  ROUND(130000+ABS(MROUND(G100,10)- 1000000)*0.3,0),0)))), IF(OR(B100="2014-2015", B100="2015-2016",B100="2016-2017"), IF(MROUND(G100,10)&lt;= 250000, 0, IF(AND(MROUND(G100,10)&gt; 250000, MROUND(G100,10)&lt;= 500000), ROUND(ABS(MROUND(G100,10)- 250000)*0.1,0), IF(AND(MROUND(G100,10)&gt; 500000, MROUND(G100,10)&lt;= 1000000),  ROUND(25000+ ABS(MROUND(G100,10)- 500000)*0.2,0),  IF(MROUND(G100,10)&gt; 1000000,  ROUND(125000+ABS(MROUND(G100,10)- 1000000)*0.3,0), 0)))), IF(OR(B100="2017-2018",B100="2018-2019",B100="2019-2020",AND(B100="2020-2021",'Basic Information'!$AG$12="No"),AND(B100="2021-2022",'Basic Information'!$AG$15="No"),AND(B100="2022-2023",'Basic Information'!$AG$18="No"),AND(B100="2023-2024",'Basic Information'!$AG$21="Yes"),AND(B100="2024-2025",'Basic Information'!$AG$24="Yes")), IF(MROUND(G100,10)&lt;= 250000, 0, IF(AND(MROUND(G100,10)&gt; 250000, MROUND(G100,10)&lt;= 500000), ROUND(ABS(MROUND(G100,10)- 250000)*0.05,0), IF(AND(MROUND(G100,10)&gt; 500000, MROUND(G100,10)&lt;= 1000000),  ROUND(12500+ ABS(MROUND(G100,10)- 500000)*0.2,0),  IF(MROUND(G100,10)&gt; 1000000,  ROUND(112500+ABS(MROUND(G100,10)- 1000000)*0.3,0), 0)))),IF(OR(AND(B100="2020-2021",'Basic Information'!$AG$12="Yes"),AND(B100="2021-2022",'Basic Information'!$AG$15="Yes"),AND(B100="2022-2023",'Basic Information'!$AG$18="Yes")), IF(MROUND(G100,10)&lt;= 250000, 0, IF(AND(MROUND(G100,10)&gt; 250000, MROUND(G100,10)&lt;= 500000), ROUND(ABS(MROUND(G100,10)- 250000)*0.05,0), IF(AND(MROUND(G100,10)&gt; 500000, MROUND(G100,10)&lt;= 750000),  ROUND(12500+ ABS(MROUND(G100,10)- 500000)*0.1,0), IF(AND(MROUND(G100,10)&gt; 750000, MROUND(G100,10)&lt;= 1000000),  ROUND(37500+ ABS(MROUND(G100,10)- 750000)*0.15,0),IF(AND(MROUND(G100,10)&gt; 1000000, MROUND(G100,10)&lt;= 1250000),  ROUND(75000+ ABS(MROUND(G100,10)- 1000000)*0.2,0),IF(AND(MROUND(G100,10)&gt; 1250000, MROUND(G100,10)&lt;= 1500000),  ROUND(125000+ ABS(MROUND(G100,10)- 1250000)*0.25,0), IF(MROUND(G100,10)&gt; 1500000,  ROUND(187500+ABS(MROUND(G100,10)- 1500000)*0.3,0), 0))))))),IF(AND(B100="2023-2024",'Basic Information'!$AG$21="No"), IF(MROUND(G100,10)&lt;= 300000, 0, IF(AND(MROUND(G100,10)&gt; 300000, MROUND(G100,10)&lt;= 600000), ROUND(ABS(MROUND(G100,10)- 300000)*0.05,0), IF(AND(MROUND(G100,10)&gt; 600000, MROUND(G100,10)&lt;= 900000),  ROUND(15000+ ABS(MROUND(G100,10)- 600000)*0.1,0), IF(AND(MROUND(G100,10)&gt; 900000, MROUND(G100,10)&lt;= 1200000),  ROUND(45000+ ABS(MROUND(G100,10)- 900000)*0.15,0),IF(AND(MROUND(G100,10)&gt; 1200000, MROUND(G100,10)&lt;= 1500000),  ROUND(90000+ ABS(MROUND(G100,10)- 1200000)*0.2,0), IF(MROUND(G100,10)&gt; 1500000,  ROUND(150000+ABS(MROUND(G100,10)- 1500000)*0.3,0), 0)))))),IF(AND(B100="2024-2025",'Basic Information'!$AG$24="No"), IF(MROUND(G100,10)&lt;= 300000, 0, IF(AND(MROUND(G100,10)&gt; 300000, MROUND(G100,10)&lt;= 700000), ROUND(ABS(MROUND(G100,10)- 300000)*0.05,0), IF(AND(MROUND(G100,10)&gt; 700000, MROUND(G100,10)&lt;= 1000000),  ROUND(20000+ ABS(MROUND(G100,10)- 700000)*0.1,0), IF(AND(MROUND(G100,10)&gt; 1000000, MROUND(G100,10)&lt;= 1200000),  ROUND(50000+ ABS(MROUND(G100,10)- 1000000)*0.15,0),IF(AND(MROUND(G100,10)&gt; 1200000, MROUND(G100,10)&lt;= 1500000),  ROUND(80000+ ABS(MROUND(G100,10)- 1200000)*0.2,0), IF(MROUND(G100,10)&gt; 1500000,  ROUND(140000+ABS(MROUND(G100,10)- 1500000)*0.3,0), 0)))))),0)))))))))))))))))</f>
        <v>0</v>
      </c>
      <c r="AU100" s="6">
        <f>IF(OR(B100="2013-2014",B100="2014-2015",B100="2015-2016"),IF(AND(MROUND(G100,10)&lt;=500000,MROUND(G100,10)&lt;&gt;0),IF(AT100&lt;=2000, AT100,2000),0), IF(B100="2016-2017",IF(AND(MROUND(G100,10)&lt;=500000,MROUND(G100,10)&lt;&gt;0),IF(AT100&lt;=5000, AT100,5000),0), IF(OR(B100="2017-2018",B100="2018-2019"),IF(AND(MROUND(G100,10)&lt;=350000,MROUND(G100,10)&lt;&gt;0),IF(AT100&lt;=2500, AT100,2500),0), IF(OR(B100="2019-2020",B100="2020-2021",B100="2021-2022",B100="2022-2023",AND(B100="2023-2024",'Basic Information'!$AG$21="Yes"),AND(B100="2024-2025",'Basic Information'!$AG$24="Yes")),IF(AND(MROUND(G100,10)&lt;=500000,MROUND(G100,10)&lt;&gt;0),IF(AT100&lt;=12500, AT100,12500),0), IF(OR(AND(B100="2023-2024",'Basic Information'!$AG$21="No")),IF(AND(MROUND(G100,10)&lt;=700000,MROUND(G100,10)&lt;&gt;0),IF(AT100&lt;=25000, AT100,25000),IF(AND(MROUND(G100,10)&lt;&gt;0,(MROUND(G100,10)-700000)&lt;=AT100),AT100-(MROUND(G100,10)-700000),0)), IF(OR(AND(B100="2024-2025",'Basic Information'!$AG$24="No")),IF(AND(MROUND(G100,10)&lt;=700000,MROUND(G100,10)&lt;&gt;0),IF(AT100&lt;=20000, AT100,20000),IF(AND(MROUND(G100,10)&lt;&gt;0,(MROUND(G100,10)-700000)&lt;=AT100),AT100-(MROUND(G100,10)-700000),0)),0))))))</f>
        <v>0</v>
      </c>
      <c r="AV100" s="6">
        <f t="shared" si="5"/>
        <v>0</v>
      </c>
      <c r="AW100" s="6">
        <f t="shared" si="6"/>
        <v>0</v>
      </c>
      <c r="AX100" s="6">
        <f>IF( AND(OR(B100="2005-2006",B100="2006-2007"),$U$22&lt;&gt;"Female"),IF( MROUND(S100,10)&lt;= 100000, 0, IF(AND(MROUND(S100,10)&gt; 100000,MROUND(S100,10)&lt;= 150000),  ROUND(ABS(MROUND(S100,10)- 100000)*0.1,0), IF(AND(MROUND(S100,10)&gt; 150000, MROUND(S100,10)&lt;= 250000), ROUND(5000+ ABS(MROUND(S100,10)- 150000)*0.2,0),IF(MROUND(S100,10)&gt; 250000,  ROUND(25000+ABS(MROUND(S100,10)- 250000)*0.3,0),  0)))),IF(AND(OR(B100="2005-2006",B100="2006-2007"),$U$22="Female"),IF(MROUND(S100,10)&lt;= 135000, 0, IF(AND(MROUND(S100,10)&gt; 135000, MROUND(S100,10)&lt;= 150000), ROUND(ABS(MROUND(S100,10)- 135000)*0.1,0), IF(AND(MROUND(S100,10)&gt; 150000, MROUND(S100,10)&lt;= 250000), ROUND(1500+ ABS(MROUND(S100,10)- 150000)*0.2,0),  IF(MROUND(S100,10)&gt; 250000, ROUND(21500+ABS(MROUND(S100,10)- 250000)*0.3,0),0)))),IF(AND(B100="2007-2008",$U$22&lt;&gt;"Female"), IF(MROUND(S100,10)&lt;= 110000,  0,  IF(AND(MROUND(S100,10)&gt; 110000, MROUND(S100,10)&lt;= 150000),     ROUND(ABS(MROUND(S100,10)- 110000)*0.1,0),  IF(AND(MROUND(S100,10)&gt; 150000, MROUND(S100,10)&lt;= 250000),  ROUND(4000+ ABS(MROUND(S100,10)- 150000)*0.2,0),   IF(MROUND(S100,10)&gt; 250000,   ROUND(24000+ABS(MROUND(S100,10)- 250000)*0.3,0),0)))),IF(AND(B100="2007-2008",$U$22="Female"), IF(MROUND(S100,10)&lt;= 145000, 0, IF(AND(MROUND(S100,10)&gt; 145000, MROUND(S100,10)&lt;= 150000),     ROUND(ABS(MROUND(S100,10)- 145000)*0.1,0),  IF(AND(MROUND(S100,10)&gt; 150000, MROUND(S100,10)&lt;= 250000),  ROUND(500+ ABS(MROUND(S100,10)- 150000)*0.2,0),  IF(MROUND(S100,10)&gt; 250000, ROUND(20500+ABS(MROUND(S100,10)- 250000)*0.3,0),0)))), IF(AND(B100="2008-2009",$U$22&lt;&gt;"Female"), IF(MROUND(S100,10)&lt;= 150000, 0, IF(AND(MROUND(S100,10)&gt; 150000, MROUND(S100,10)&lt;= 300000), ROUND(ABS(MROUND(S100,10)- 150000)*0.1,0), IF(AND(MROUND(S100,10)&gt; 300000, MROUND(S100,10)&lt;= 500000),  ROUND(15000+ ABS(MROUND(S100,10)- 300000)*0.2,0),  IF(MROUND(S100,10)&gt; 500000,  ROUND(55000+ABS(MROUND(S100,10)- 500000)*0.3,0),0)))), IF(AND(B100="2008-2009",$U$22="Female"), IF(MROUND(S100,10)&lt;= 180000, 0, IF(AND(MROUND(S100,10)&gt; 180000, MROUND(S100,10)&lt;= 300000), ROUND(ABS(MROUND(S100,10)- 180000)*0.1,0), IF(AND(MROUND(S100,10)&gt; 300000, MROUND(S100,10)&lt;= 500000), ROUND(12000+ ABS(MROUND(S100,10)- 300000)*0.2,0),  IF(MROUND(S100,10)&gt; 500000,  ROUND(52000+ABS(MROUND(S100,10)- 500000)*0.3,0),0)))), IF(AND(B100="2009-2010", $U$22&lt;&gt;"Female"), IF(MROUND(S100,10)&lt;= 160000, 0, IF(AND(MROUND(S100,10)&gt; 160000, MROUND(S100,10)&lt;= 300000),ROUND(ABS(MROUND(S100,10)- 160000)*0.1,0), IF(AND(MROUND(S100,10)&gt; 300000, MROUND(S100,10)&lt;= 500000),ROUND(14000+ ABS(MROUND(S100,10)- 300000)*0.2,0),  IF(MROUND(S100,10)&gt; 500000, ROUND(54000+ABS(MROUND(S100,10)- 500000)*0.3,0),0)))),IF(AND(B100="2009-2010",$U$22="Female"), IF(MROUND(S100,10)&lt;= 190000, 0, IF(AND(MROUND(S100,10)&gt; 190000, MROUND(S100,10)&lt;= 300000),ROUND(ABS(MROUND(S100,10)- 190000)*0.1,0), IF(AND(MROUND(S100,10)&gt; 300000, MROUND(S100,10)&lt;= 500000), ROUND(11000+ ABS(MROUND(S100,10)- 300000)*0.2,0),IF(MROUND(S100,10)&gt; 500000,  ROUND(51000+ABS(MROUND(S100,10)- 500000)*0.3,0),0)))), IF(AND(B100="2010-2011",$U$22&lt;&gt;"Female"), IF(MROUND(S100,10)&lt;= 160000, 0, IF(AND(MROUND(S100,10)&gt; 160000, MROUND(S100,10)&lt;= 500000), ROUND(ABS(MROUND(S100,10)- 160000)*0.1,0), IF(AND(MROUND(S100,10)&gt; 500000, MROUND(S100,10)&lt;= 800000), ROUND(34000+ ABS(MROUND(S100,10)- 500000)*0.2,0),  IF(MROUND(S100,10)&gt; 800000,  ROUND(94000+ABS(MROUND(S100,10)- 800000)*0.3,0),0)))), IF(AND(OR(B100="2010-2011",B100="2011-2012"),$U$22="Female"), IF(MROUND(S100,10)&lt;= 190000, 0, IF(AND(MROUND(S100,10)&gt; 190000, MROUND(S100,10)&lt;= 500000), ROUND(ABS(MROUND(S100,10)- 190000)*0.1,0), IF(AND(MROUND(S100,10)&gt; 500000, MROUND(S100,10)&lt;= 800000),  ROUND(31000+ ABS(MROUND(S100,10)- 500000)*0.2,0),  IF(MROUND(S100,10)&gt; 800000,  ROUND(91000+ABS(MROUND(S100,10)- 800000)*0.3,0),0)))), IF(AND(B100="2011-2012", $U$22&lt;&gt;"Female"), IF(MROUND(S100,10)&lt;= 180000, 0, IF(AND(MROUND(S100,10)&gt; 180000, MROUND(S100,10)&lt;= 500000), ROUND(ABS(MROUND(S100,10)- 180000)*0.1,0), IF(AND(MROUND(S100,10)&gt; 500000, MROUND(S100,10)&lt;= 800000),  ROUND(32000+ ABS(MROUND(S100,10)- 500000)*0.2,0),  IF(MROUND(S100,10)&gt; 800000,  ROUND(92000+ABS(MROUND(S100,10)- 800000)*0.3,0),0)))), IF(OR(B100="2012-2013",B100="2013-2014"), IF(MROUND(S100,10)&lt;= 200000, 0, IF(AND(MROUND(S100,10)&gt; 200000, MROUND(S100,10)&lt;= 500000), ROUND(ABS(MROUND(S100,10)- 200000)*0.1,0), IF(AND(MROUND(S100,10)&gt; 500000, MROUND(S100,10)&lt;= 1000000),  ROUND(30000+ ABS(MROUND(S100,10)- 500000)*0.2,0),  IF(MROUND(S100,10)&gt; 1000000,  ROUND(130000+ABS(MROUND(S100,10)- 1000000)*0.3,0),0)))), IF(OR(B100="2014-2015", B100="2015-2016",B100="2016-2017"), IF(MROUND(S100,10)&lt;= 250000, 0, IF(AND(MROUND(S100,10)&gt; 250000, MROUND(S100,10)&lt;= 500000), ROUND(ABS(MROUND(S100,10)- 250000)*0.1,0), IF(AND(MROUND(S100,10)&gt; 500000, MROUND(S100,10)&lt;= 1000000),  ROUND(25000+ ABS(MROUND(S100,10)- 500000)*0.2,0),  IF(MROUND(S100,10)&gt; 1000000,  ROUND(125000+ABS(MROUND(S100,10)- 1000000)*0.3,0), 0)))),IF(OR(B100="2017-2018",B100="2018-2019",B100="2019-2020",AND(B100="2020-2021",'Basic Information'!$AG$12="No"),AND(B100="2021-2022",'Basic Information'!$AG$15="No"),AND(B100="2022-2023",'Basic Information'!$AG$18="No"),AND(B100="2023-2024",'Basic Information'!$AG$21="Yes"),AND(B100="2024-2025",'Basic Information'!$AG$24="Yes")), IF(MROUND(S100,10)&lt;= 250000, 0, IF(AND(MROUND(S100,10)&gt; 250000, MROUND(S100,10)&lt;= 500000), ROUND(ABS(MROUND(S100,10)- 250000)*0.05,0), IF(AND(MROUND(S100,10)&gt; 500000, MROUND(S100,10)&lt;= 1000000),  ROUND(12500+ ABS(MROUND(S100,10)- 500000)*0.2,0),  IF(MROUND(S100,10)&gt; 1000000,  ROUND(112500+ABS(MROUND(S100,10)- 1000000)*0.3,0), 0)))),IF(OR(AND(B100="2020-2021",'Basic Information'!$AG$12="Yes"),AND(B100="2021-2022",'Basic Information'!$AG$15="Yes"),AND(B100="2022-2023",'Basic Information'!$AG$18="Yes")), IF(MROUND(S100,10)&lt;= 250000, 0, IF(AND(MROUND(S100,10)&gt; 250000, MROUND(S100,10)&lt;= 500000), ROUND(ABS(MROUND(S100,10)- 250000)*0.05,0), IF(AND(MROUND(S100,10)&gt; 500000, MROUND(S100,10)&lt;= 750000),  ROUND(12500+ ABS(MROUND(S100,10)- 500000)*0.1,0), IF(AND(MROUND(S100,10)&gt; 750000, MROUND(S100,10)&lt;= 1000000),  ROUND(37500+ ABS(MROUND(S100,10)- 750000)*0.15,0),IF(AND(MROUND(S100,10)&gt; 1000000, MROUND(S100,10)&lt;= 1250000),  ROUND(75000+ ABS(MROUND(S100,10)- 1000000)*0.2,0),IF(AND(MROUND(S100,10)&gt; 1250000, MROUND(S100,10)&lt;= 1500000),  ROUND(125000+ ABS(MROUND(S100,10)- 1250000)*0.25,0), IF(MROUND(S100,10)&gt; 1500000,  ROUND(187500+ABS(MROUND(S100,10)- 1500000)*0.3,0), 0))))))),IF(AND(B100="2023-2024",'Basic Information'!$AG$21="No"), IF(MROUND(S100,10)&lt;= 300000, 0, IF(AND(MROUND(S100,10)&gt; 300000, MROUND(S100,10)&lt;= 600000), ROUND(ABS(MROUND(S100,10)- 300000)*0.05,0), IF(AND(MROUND(S100,10)&gt; 600000, MROUND(S100,10)&lt;= 900000),  ROUND(15000+ ABS(MROUND(S100,10)- 600000)*0.1,0), IF(AND(MROUND(S100,10)&gt; 900000, MROUND(S100,10)&lt;= 1200000),  ROUND(45000+ ABS(MROUND(S100,10)- 900000)*0.15,0),IF(AND(MROUND(S100,10)&gt; 1200000, MROUND(S100,10)&lt;= 1500000),  ROUND(90000+ ABS(MROUND(S100,10)- 1200000)*0.2,0), IF(MROUND(S100,10)&gt; 1500000,  ROUND(150000+ABS(MROUND(S100,10)- 1500000)*0.3,0), 0)))))),IF(AND(B100="2024-2025",'Basic Information'!$AG$24="No"), IF(MROUND(S100,10)&lt;= 300000, 0, IF(AND(MROUND(S100,10)&gt; 300000, MROUND(S100,10)&lt;= 700000), ROUND(ABS(MROUND(S100,10)- 300000)*0.05,0), IF(AND(MROUND(S100,10)&gt; 700000, MROUND(S100,10)&lt;= 1000000),  ROUND(20000+ ABS(MROUND(S100,10)- 700000)*0.1,0), IF(AND(MROUND(S100,10)&gt; 1000000, MROUND(S100,10)&lt;= 1200000),  ROUND(50000+ ABS(MROUND(S100,10)- 1000000)*0.15,0),IF(AND(MROUND(S100,10)&gt; 1200000, MROUND(S100,10)&lt;= 1500000),  ROUND(80000+ ABS(MROUND(S100,10)- 1200000)*0.2,0), IF(MROUND(S100,10)&gt; 1500000,  ROUND(140000+ABS(MROUND(S100,10)- 1500000)*0.3,0), 0)))))),0)))))))))))))))))</f>
        <v>0</v>
      </c>
      <c r="AY100" s="6">
        <f>IF(OR(B100="2013-2014",B100="2014-2015",B100="2015-2016"),IF(AND(MROUND(S100,10)&lt;=500000,MROUND(S100,10)&lt;&gt;0),IF(AX100&lt;=2000, AX100,2000),0), IF(B100="2016-2017",IF(AND(MROUND(S100,10)&lt;=500000, MROUND(S100,10)&lt;&gt;0),IF(AX100&lt;=5000, AX100,5000),0), IF(OR(B100="2017-2018",B100="2018-2019"),IF(AND(MROUND(S100,10)&lt;=350000,MROUND(S100,10)&lt;&gt;0),IF(AX100&lt;=2500, AX100,2500),0), IF(OR(B100="2019-2020",B100="2020-2021",B100="2021-2022",B100="2022-2023",AND(B100="2023-2024",'Basic Information'!$AG$21="Yes"),AND(B100="2024-2025",'Basic Information'!$AG$24="Yes")),IF(AND(MROUND(S100,10)&lt;=500000,MROUND(S100,10)&lt;&gt;0),IF(AX100&lt;=12500, AX100,12500),0), IF(OR(AND(B100="2023-2024",'Basic Information'!$AG$21="No")),IF(AND(MROUND(S100,10)&lt;=700000,MROUND(S100,10)&lt;&gt;0),IF(AX100&lt;=25000, AX100,25000),IF(AND(MROUND(S100,10)&lt;&gt;0,(MROUND(S100,10)-700000)&lt;= AX100), AX100-(MROUND(S100,10)-700000),0)), IF(OR(AND(B100="2024-2025",'Basic Information'!$AG$24="No")),IF(AND(MROUND(S100,10)&lt;=700000,MROUND(S100,10)&lt;&gt;0),IF(AX100&lt;=20000, AX100,20000),IF(AND(MROUND(S100,10)&lt;&gt;0,(MROUND(S100,10)-700000)&lt;= AX100), AX100-(MROUND(S100,10)-700000),0)),0))))))</f>
        <v>0</v>
      </c>
      <c r="AZ100" s="6">
        <f t="shared" si="0"/>
        <v>0</v>
      </c>
      <c r="BA100" s="6">
        <f t="shared" si="7"/>
        <v>0</v>
      </c>
    </row>
    <row r="101" spans="2:53" x14ac:dyDescent="0.3">
      <c r="B101" s="452"/>
      <c r="C101" s="453"/>
      <c r="D101" s="453"/>
      <c r="E101" s="453"/>
      <c r="F101" s="454"/>
      <c r="G101" s="455"/>
      <c r="H101" s="456"/>
      <c r="I101" s="456"/>
      <c r="J101" s="456"/>
      <c r="K101" s="456"/>
      <c r="L101" s="457"/>
      <c r="M101" s="455"/>
      <c r="N101" s="456"/>
      <c r="O101" s="456"/>
      <c r="P101" s="456"/>
      <c r="Q101" s="456"/>
      <c r="R101" s="457"/>
      <c r="S101" s="458">
        <f t="shared" si="1"/>
        <v>0</v>
      </c>
      <c r="T101" s="459"/>
      <c r="U101" s="459"/>
      <c r="V101" s="459"/>
      <c r="W101" s="459"/>
      <c r="X101" s="460"/>
      <c r="Y101" s="458">
        <f t="shared" si="2"/>
        <v>0</v>
      </c>
      <c r="Z101" s="459"/>
      <c r="AA101" s="459"/>
      <c r="AB101" s="459"/>
      <c r="AC101" s="459"/>
      <c r="AD101" s="460"/>
      <c r="AE101" s="458">
        <f t="shared" si="3"/>
        <v>0</v>
      </c>
      <c r="AF101" s="459"/>
      <c r="AG101" s="459"/>
      <c r="AH101" s="459"/>
      <c r="AI101" s="459"/>
      <c r="AJ101" s="461"/>
      <c r="AK101" s="462">
        <f t="shared" si="4"/>
        <v>0</v>
      </c>
      <c r="AL101" s="463"/>
      <c r="AM101" s="463"/>
      <c r="AN101" s="463"/>
      <c r="AO101" s="463"/>
      <c r="AP101" s="464"/>
      <c r="AQ101" s="36" t="str">
        <f t="shared" si="8"/>
        <v/>
      </c>
      <c r="AT101" s="6">
        <f>IF( AND(OR(B101="2005-2006",B101="2006-2007"),$U$22&lt;&gt;"Female"),IF( MROUND(G101,10)&lt;= 100000, 0, IF(AND(MROUND(G101,10)&gt; 100000,MROUND(G101,10)&lt;= 150000),  ROUND(ABS(MROUND(G101,10)- 100000)*0.1,0), IF(AND(MROUND(G101,10)&gt; 150000, MROUND(G101,10)&lt;= 250000), ROUND(5000+ ABS(MROUND(G101,10)- 150000)*0.2,0),IF(MROUND(G101,10)&gt; 250000,  ROUND(25000+ABS(MROUND(G101,10)- 250000)*0.3,0),  0)))),IF(AND(OR(B101="2005-2006",B101="2006-2007"),$U$22="Female"),IF(MROUND(G101,10)&lt;= 135000, 0, IF(AND(MROUND(G101,10)&gt; 135000, MROUND(G101,10)&lt;= 150000), ROUND(ABS(MROUND(G101,10)- 135000)*0.1,0), IF(AND(MROUND(G101,10)&gt; 150000, MROUND(G101,10)&lt;= 250000), ROUND(1500+ ABS(MROUND(G101,10)- 150000)*0.2,0),  IF(MROUND(G101,10)&gt; 250000, ROUND(21500+ABS(MROUND(G101,10)- 250000)*0.3,0),0)))),IF(AND(B101="2007-2008",$U$22&lt;&gt;"Female"), IF(MROUND(G101,10)&lt;= 110000,  0,  IF(AND(MROUND(G101,10)&gt; 110000, MROUND(G101,10)&lt;= 150000), ROUND(ABS(MROUND(G101,10)- 110000)*0.1,0),  IF(AND(MROUND(G101,10)&gt; 150000, MROUND(G101,10)&lt;= 250000),  ROUND(4000+ ABS(MROUND(G101,10)- 150000)*0.2,0),   IF(MROUND(G101,10)&gt; 250000,   ROUND(24000+ABS(MROUND(G101,10)- 250000)*0.3,0),0)))),IF(AND(B101="2007-2008",$U$22="Female"), IF(MROUND(G101,10)&lt;= 145000, 0, IF(AND(MROUND(G101,10)&gt; 145000, MROUND(G101,10)&lt;= 150000),     ROUND(ABS(MROUND(G101,10)- 145000)*0.1,0),  IF(AND(MROUND(G101,10)&gt; 150000, MROUND(G101,10)&lt;= 250000),  ROUND(500+ ABS(MROUND(G101,10)- 150000)*0.2,0),  IF(MROUND(G101,10)&gt; 250000, ROUND(20500+ABS(MROUND(G101,10)- 250000)*0.3,0),0)))), IF(AND(B101="2008-2009",$U$22&lt;&gt;"Female"), IF(MROUND(G101,10)&lt;= 150000, 0, IF(AND(MROUND(G101,10)&gt; 150000, MROUND(G101,10)&lt;= 300000), ROUND(ABS(MROUND(G101,10)- 150000)*0.1,0), IF(AND(MROUND(G101,10)&gt; 300000, MROUND(G101,10)&lt;= 500000),  ROUND(15000+ ABS(MROUND(G101,10)- 300000)*0.2,0),  IF(MROUND(G101,10)&gt; 500000,  ROUND(55000+ABS(MROUND(G101,10)- 500000)*0.3,0),0)))), IF(AND(B101="2008-2009",$U$22="Female"), IF(MROUND(G101,10)&lt;= 180000, 0, IF(AND(MROUND(G101,10)&gt; 180000, MROUND(G101,10)&lt;= 300000), ROUND(ABS(MROUND(G101,10)- 180000)*0.1,0), IF(AND(MROUND(G101,10)&gt; 300000, MROUND(G101,10)&lt;= 500000), ROUND(12000+ ABS(MROUND(G101,10)- 300000)*0.2,0),  IF(MROUND(G101,10)&gt; 500000,  ROUND(52000+ABS(MROUND(G101,10)- 500000)*0.3,0),0)))), IF(AND(B101="2009-2010", $U$22&lt;&gt;"Female"), IF(MROUND(G101,10)&lt;= 160000, 0, IF(AND(MROUND(G101,10)&gt; 160000, MROUND(G101,10)&lt;= 300000),ROUND(ABS(MROUND(G101,10)- 160000)*0.1,0), IF(AND(MROUND(G101,10)&gt; 300000, MROUND(G101,10)&lt;= 500000),ROUND(14000+ ABS(MROUND(G101,10)- 300000)*0.2,0),  IF(MROUND(G101,10)&gt; 500000, ROUND(54000+ABS(MROUND(G101,10)- 500000)*0.3,0),0)))),IF(AND(B101="2009-2010",$U$22="Female"), IF(MROUND(G101,10)&lt;= 190000, 0, IF(AND(MROUND(G101,10)&gt; 190000, MROUND(G101,10)&lt;= 300000),ROUND(ABS(MROUND(G101,10)- 190000)*0.1,0), IF(AND(MROUND(G101,10)&gt; 300000, MROUND(G101,10)&lt;= 500000), ROUND(11000+ ABS(MROUND(G101,10)- 300000)*0.2,0),IF(MROUND(G101,10)&gt; 500000,  ROUND(51000+ABS(MROUND(G101,10)- 500000)*0.3,0),0)))), IF(AND(B101="2010-2011",$U$22&lt;&gt;"Female"), IF(MROUND(G101,10)&lt;= 160000, 0, IF(AND(MROUND(G101,10)&gt; 160000, MROUND(G101,10)&lt;= 500000), ROUND(ABS(MROUND(G101,10)- 160000)*0.1,0), IF(AND(MROUND(G101,10)&gt; 500000, MROUND(G101,10)&lt;= 800000), ROUND(34000+ ABS(MROUND(G101,10)- 500000)*0.2,0),  IF(MROUND(G101,10)&gt; 800000,  ROUND(94000+ABS(MROUND(G101,10)- 800000)*0.3,0),0)))), IF(AND(OR(B101="2010-2011",B101="2011-2012"),$U$22="Female"), IF(MROUND(G101,10)&lt;= 190000, 0, IF(AND(MROUND(G101,10)&gt; 190000, MROUND(G101,10)&lt;= 500000), ROUND(ABS(MROUND(G101,10)- 190000)*0.1,0), IF(AND(MROUND(G101,10)&gt; 500000, MROUND(G101,10)&lt;= 800000),  ROUND(31000+ ABS(MROUND(G101,10)- 500000)*0.2,0),  IF(MROUND(G101,10)&gt; 800000,  ROUND(91000+ABS(MROUND(G101,10)- 800000)*0.3,0),0)))), IF(AND(B101="2011-2012", $U$22&lt;&gt;"Female"), IF(MROUND(G101,10)&lt;= 180000, 0, IF(AND(MROUND(G101,10)&gt; 180000, MROUND(G101,10)&lt;= 500000), ROUND(ABS(MROUND(G101,10)- 180000)*0.1,0), IF(AND(MROUND(G101,10)&gt; 500000, MROUND(G101,10)&lt;= 800000),  ROUND(32000+ ABS(MROUND(G101,10)- 500000)*0.2,0),  IF(MROUND(G101,10)&gt; 800000,  ROUND(92000+ABS(MROUND(G101,10)- 800000)*0.3,0),0)))), IF(OR(B101="2012-2013",B101="2013-2014"), IF(MROUND(G101,10)&lt;= 200000, 0, IF(AND(MROUND(G101,10)&gt; 200000, MROUND(G101,10)&lt;= 500000), ROUND(ABS(MROUND(G101,10)- 200000)*0.1,0), IF(AND(MROUND(G101,10)&gt; 500000, MROUND(G101,10)&lt;= 1000000),  ROUND(30000+ ABS(MROUND(G101,10)- 500000)*0.2,0),  IF(MROUND(G101,10)&gt; 1000000,  ROUND(130000+ABS(MROUND(G101,10)- 1000000)*0.3,0),0)))), IF(OR(B101="2014-2015", B101="2015-2016",B101="2016-2017"), IF(MROUND(G101,10)&lt;= 250000, 0, IF(AND(MROUND(G101,10)&gt; 250000, MROUND(G101,10)&lt;= 500000), ROUND(ABS(MROUND(G101,10)- 250000)*0.1,0), IF(AND(MROUND(G101,10)&gt; 500000, MROUND(G101,10)&lt;= 1000000),  ROUND(25000+ ABS(MROUND(G101,10)- 500000)*0.2,0),  IF(MROUND(G101,10)&gt; 1000000,  ROUND(125000+ABS(MROUND(G101,10)- 1000000)*0.3,0), 0)))), IF(OR(B101="2017-2018",B101="2018-2019",B101="2019-2020",AND(B101="2020-2021",'Basic Information'!$AG$12="No"),AND(B101="2021-2022",'Basic Information'!$AG$15="No"),AND(B101="2022-2023",'Basic Information'!$AG$18="No"),AND(B101="2023-2024",'Basic Information'!$AG$21="Yes"),AND(B101="2024-2025",'Basic Information'!$AG$24="Yes")), IF(MROUND(G101,10)&lt;= 250000, 0, IF(AND(MROUND(G101,10)&gt; 250000, MROUND(G101,10)&lt;= 500000), ROUND(ABS(MROUND(G101,10)- 250000)*0.05,0), IF(AND(MROUND(G101,10)&gt; 500000, MROUND(G101,10)&lt;= 1000000),  ROUND(12500+ ABS(MROUND(G101,10)- 500000)*0.2,0),  IF(MROUND(G101,10)&gt; 1000000,  ROUND(112500+ABS(MROUND(G101,10)- 1000000)*0.3,0), 0)))),IF(OR(AND(B101="2020-2021",'Basic Information'!$AG$12="Yes"),AND(B101="2021-2022",'Basic Information'!$AG$15="Yes"),AND(B101="2022-2023",'Basic Information'!$AG$18="Yes")), IF(MROUND(G101,10)&lt;= 250000, 0, IF(AND(MROUND(G101,10)&gt; 250000, MROUND(G101,10)&lt;= 500000), ROUND(ABS(MROUND(G101,10)- 250000)*0.05,0), IF(AND(MROUND(G101,10)&gt; 500000, MROUND(G101,10)&lt;= 750000),  ROUND(12500+ ABS(MROUND(G101,10)- 500000)*0.1,0), IF(AND(MROUND(G101,10)&gt; 750000, MROUND(G101,10)&lt;= 1000000),  ROUND(37500+ ABS(MROUND(G101,10)- 750000)*0.15,0),IF(AND(MROUND(G101,10)&gt; 1000000, MROUND(G101,10)&lt;= 1250000),  ROUND(75000+ ABS(MROUND(G101,10)- 1000000)*0.2,0),IF(AND(MROUND(G101,10)&gt; 1250000, MROUND(G101,10)&lt;= 1500000),  ROUND(125000+ ABS(MROUND(G101,10)- 1250000)*0.25,0), IF(MROUND(G101,10)&gt; 1500000,  ROUND(187500+ABS(MROUND(G101,10)- 1500000)*0.3,0), 0))))))),IF(AND(B101="2023-2024",'Basic Information'!$AG$21="No"), IF(MROUND(G101,10)&lt;= 300000, 0, IF(AND(MROUND(G101,10)&gt; 300000, MROUND(G101,10)&lt;= 600000), ROUND(ABS(MROUND(G101,10)- 300000)*0.05,0), IF(AND(MROUND(G101,10)&gt; 600000, MROUND(G101,10)&lt;= 900000),  ROUND(15000+ ABS(MROUND(G101,10)- 600000)*0.1,0), IF(AND(MROUND(G101,10)&gt; 900000, MROUND(G101,10)&lt;= 1200000),  ROUND(45000+ ABS(MROUND(G101,10)- 900000)*0.15,0),IF(AND(MROUND(G101,10)&gt; 1200000, MROUND(G101,10)&lt;= 1500000),  ROUND(90000+ ABS(MROUND(G101,10)- 1200000)*0.2,0), IF(MROUND(G101,10)&gt; 1500000,  ROUND(150000+ABS(MROUND(G101,10)- 1500000)*0.3,0), 0)))))),IF(AND(B101="2024-2025",'Basic Information'!$AG$24="No"), IF(MROUND(G101,10)&lt;= 300000, 0, IF(AND(MROUND(G101,10)&gt; 300000, MROUND(G101,10)&lt;= 700000), ROUND(ABS(MROUND(G101,10)- 300000)*0.05,0), IF(AND(MROUND(G101,10)&gt; 700000, MROUND(G101,10)&lt;= 1000000),  ROUND(20000+ ABS(MROUND(G101,10)- 700000)*0.1,0), IF(AND(MROUND(G101,10)&gt; 1000000, MROUND(G101,10)&lt;= 1200000),  ROUND(50000+ ABS(MROUND(G101,10)- 1000000)*0.15,0),IF(AND(MROUND(G101,10)&gt; 1200000, MROUND(G101,10)&lt;= 1500000),  ROUND(80000+ ABS(MROUND(G101,10)- 1200000)*0.2,0), IF(MROUND(G101,10)&gt; 1500000,  ROUND(140000+ABS(MROUND(G101,10)- 1500000)*0.3,0), 0)))))),0)))))))))))))))))</f>
        <v>0</v>
      </c>
      <c r="AU101" s="6">
        <f>IF(OR(B101="2013-2014",B101="2014-2015",B101="2015-2016"),IF(AND(MROUND(G101,10)&lt;=500000,MROUND(G101,10)&lt;&gt;0),IF(AT101&lt;=2000, AT101,2000),0), IF(B101="2016-2017",IF(AND(MROUND(G101,10)&lt;=500000,MROUND(G101,10)&lt;&gt;0),IF(AT101&lt;=5000, AT101,5000),0), IF(OR(B101="2017-2018",B101="2018-2019"),IF(AND(MROUND(G101,10)&lt;=350000,MROUND(G101,10)&lt;&gt;0),IF(AT101&lt;=2500, AT101,2500),0), IF(OR(B101="2019-2020",B101="2020-2021",B101="2021-2022",B101="2022-2023",AND(B101="2023-2024",'Basic Information'!$AG$21="Yes"),AND(B101="2024-2025",'Basic Information'!$AG$24="Yes")),IF(AND(MROUND(G101,10)&lt;=500000,MROUND(G101,10)&lt;&gt;0),IF(AT101&lt;=12500, AT101,12500),0), IF(OR(AND(B101="2023-2024",'Basic Information'!$AG$21="No")),IF(AND(MROUND(G101,10)&lt;=700000,MROUND(G101,10)&lt;&gt;0),IF(AT101&lt;=25000, AT101,25000),IF(AND(MROUND(G101,10)&lt;&gt;0,(MROUND(G101,10)-700000)&lt;=AT101),AT101-(MROUND(G101,10)-700000),0)), IF(OR(AND(B101="2024-2025",'Basic Information'!$AG$24="No")),IF(AND(MROUND(G101,10)&lt;=700000,MROUND(G101,10)&lt;&gt;0),IF(AT101&lt;=20000, AT101,20000),IF(AND(MROUND(G101,10)&lt;&gt;0,(MROUND(G101,10)-700000)&lt;=AT101),AT101-(MROUND(G101,10)-700000),0)),0))))))</f>
        <v>0</v>
      </c>
      <c r="AV101" s="6">
        <f t="shared" si="5"/>
        <v>0</v>
      </c>
      <c r="AW101" s="6">
        <f t="shared" si="6"/>
        <v>0</v>
      </c>
      <c r="AX101" s="6">
        <f>IF( AND(OR(B101="2005-2006",B101="2006-2007"),$U$22&lt;&gt;"Female"),IF( MROUND(S101,10)&lt;= 100000, 0, IF(AND(MROUND(S101,10)&gt; 100000,MROUND(S101,10)&lt;= 150000),  ROUND(ABS(MROUND(S101,10)- 100000)*0.1,0), IF(AND(MROUND(S101,10)&gt; 150000, MROUND(S101,10)&lt;= 250000), ROUND(5000+ ABS(MROUND(S101,10)- 150000)*0.2,0),IF(MROUND(S101,10)&gt; 250000,  ROUND(25000+ABS(MROUND(S101,10)- 250000)*0.3,0),  0)))),IF(AND(OR(B101="2005-2006",B101="2006-2007"),$U$22="Female"),IF(MROUND(S101,10)&lt;= 135000, 0, IF(AND(MROUND(S101,10)&gt; 135000, MROUND(S101,10)&lt;= 150000), ROUND(ABS(MROUND(S101,10)- 135000)*0.1,0), IF(AND(MROUND(S101,10)&gt; 150000, MROUND(S101,10)&lt;= 250000), ROUND(1500+ ABS(MROUND(S101,10)- 150000)*0.2,0),  IF(MROUND(S101,10)&gt; 250000, ROUND(21500+ABS(MROUND(S101,10)- 250000)*0.3,0),0)))),IF(AND(B101="2007-2008",$U$22&lt;&gt;"Female"), IF(MROUND(S101,10)&lt;= 110000,  0,  IF(AND(MROUND(S101,10)&gt; 110000, MROUND(S101,10)&lt;= 150000),     ROUND(ABS(MROUND(S101,10)- 110000)*0.1,0),  IF(AND(MROUND(S101,10)&gt; 150000, MROUND(S101,10)&lt;= 250000),  ROUND(4000+ ABS(MROUND(S101,10)- 150000)*0.2,0),   IF(MROUND(S101,10)&gt; 250000,   ROUND(24000+ABS(MROUND(S101,10)- 250000)*0.3,0),0)))),IF(AND(B101="2007-2008",$U$22="Female"), IF(MROUND(S101,10)&lt;= 145000, 0, IF(AND(MROUND(S101,10)&gt; 145000, MROUND(S101,10)&lt;= 150000),     ROUND(ABS(MROUND(S101,10)- 145000)*0.1,0),  IF(AND(MROUND(S101,10)&gt; 150000, MROUND(S101,10)&lt;= 250000),  ROUND(500+ ABS(MROUND(S101,10)- 150000)*0.2,0),  IF(MROUND(S101,10)&gt; 250000, ROUND(20500+ABS(MROUND(S101,10)- 250000)*0.3,0),0)))), IF(AND(B101="2008-2009",$U$22&lt;&gt;"Female"), IF(MROUND(S101,10)&lt;= 150000, 0, IF(AND(MROUND(S101,10)&gt; 150000, MROUND(S101,10)&lt;= 300000), ROUND(ABS(MROUND(S101,10)- 150000)*0.1,0), IF(AND(MROUND(S101,10)&gt; 300000, MROUND(S101,10)&lt;= 500000),  ROUND(15000+ ABS(MROUND(S101,10)- 300000)*0.2,0),  IF(MROUND(S101,10)&gt; 500000,  ROUND(55000+ABS(MROUND(S101,10)- 500000)*0.3,0),0)))), IF(AND(B101="2008-2009",$U$22="Female"), IF(MROUND(S101,10)&lt;= 180000, 0, IF(AND(MROUND(S101,10)&gt; 180000, MROUND(S101,10)&lt;= 300000), ROUND(ABS(MROUND(S101,10)- 180000)*0.1,0), IF(AND(MROUND(S101,10)&gt; 300000, MROUND(S101,10)&lt;= 500000), ROUND(12000+ ABS(MROUND(S101,10)- 300000)*0.2,0),  IF(MROUND(S101,10)&gt; 500000,  ROUND(52000+ABS(MROUND(S101,10)- 500000)*0.3,0),0)))), IF(AND(B101="2009-2010", $U$22&lt;&gt;"Female"), IF(MROUND(S101,10)&lt;= 160000, 0, IF(AND(MROUND(S101,10)&gt; 160000, MROUND(S101,10)&lt;= 300000),ROUND(ABS(MROUND(S101,10)- 160000)*0.1,0), IF(AND(MROUND(S101,10)&gt; 300000, MROUND(S101,10)&lt;= 500000),ROUND(14000+ ABS(MROUND(S101,10)- 300000)*0.2,0),  IF(MROUND(S101,10)&gt; 500000, ROUND(54000+ABS(MROUND(S101,10)- 500000)*0.3,0),0)))),IF(AND(B101="2009-2010",$U$22="Female"), IF(MROUND(S101,10)&lt;= 190000, 0, IF(AND(MROUND(S101,10)&gt; 190000, MROUND(S101,10)&lt;= 300000),ROUND(ABS(MROUND(S101,10)- 190000)*0.1,0), IF(AND(MROUND(S101,10)&gt; 300000, MROUND(S101,10)&lt;= 500000), ROUND(11000+ ABS(MROUND(S101,10)- 300000)*0.2,0),IF(MROUND(S101,10)&gt; 500000,  ROUND(51000+ABS(MROUND(S101,10)- 500000)*0.3,0),0)))), IF(AND(B101="2010-2011",$U$22&lt;&gt;"Female"), IF(MROUND(S101,10)&lt;= 160000, 0, IF(AND(MROUND(S101,10)&gt; 160000, MROUND(S101,10)&lt;= 500000), ROUND(ABS(MROUND(S101,10)- 160000)*0.1,0), IF(AND(MROUND(S101,10)&gt; 500000, MROUND(S101,10)&lt;= 800000), ROUND(34000+ ABS(MROUND(S101,10)- 500000)*0.2,0),  IF(MROUND(S101,10)&gt; 800000,  ROUND(94000+ABS(MROUND(S101,10)- 800000)*0.3,0),0)))), IF(AND(OR(B101="2010-2011",B101="2011-2012"),$U$22="Female"), IF(MROUND(S101,10)&lt;= 190000, 0, IF(AND(MROUND(S101,10)&gt; 190000, MROUND(S101,10)&lt;= 500000), ROUND(ABS(MROUND(S101,10)- 190000)*0.1,0), IF(AND(MROUND(S101,10)&gt; 500000, MROUND(S101,10)&lt;= 800000),  ROUND(31000+ ABS(MROUND(S101,10)- 500000)*0.2,0),  IF(MROUND(S101,10)&gt; 800000,  ROUND(91000+ABS(MROUND(S101,10)- 800000)*0.3,0),0)))), IF(AND(B101="2011-2012", $U$22&lt;&gt;"Female"), IF(MROUND(S101,10)&lt;= 180000, 0, IF(AND(MROUND(S101,10)&gt; 180000, MROUND(S101,10)&lt;= 500000), ROUND(ABS(MROUND(S101,10)- 180000)*0.1,0), IF(AND(MROUND(S101,10)&gt; 500000, MROUND(S101,10)&lt;= 800000),  ROUND(32000+ ABS(MROUND(S101,10)- 500000)*0.2,0),  IF(MROUND(S101,10)&gt; 800000,  ROUND(92000+ABS(MROUND(S101,10)- 800000)*0.3,0),0)))), IF(OR(B101="2012-2013",B101="2013-2014"), IF(MROUND(S101,10)&lt;= 200000, 0, IF(AND(MROUND(S101,10)&gt; 200000, MROUND(S101,10)&lt;= 500000), ROUND(ABS(MROUND(S101,10)- 200000)*0.1,0), IF(AND(MROUND(S101,10)&gt; 500000, MROUND(S101,10)&lt;= 1000000),  ROUND(30000+ ABS(MROUND(S101,10)- 500000)*0.2,0),  IF(MROUND(S101,10)&gt; 1000000,  ROUND(130000+ABS(MROUND(S101,10)- 1000000)*0.3,0),0)))), IF(OR(B101="2014-2015", B101="2015-2016",B101="2016-2017"), IF(MROUND(S101,10)&lt;= 250000, 0, IF(AND(MROUND(S101,10)&gt; 250000, MROUND(S101,10)&lt;= 500000), ROUND(ABS(MROUND(S101,10)- 250000)*0.1,0), IF(AND(MROUND(S101,10)&gt; 500000, MROUND(S101,10)&lt;= 1000000),  ROUND(25000+ ABS(MROUND(S101,10)- 500000)*0.2,0),  IF(MROUND(S101,10)&gt; 1000000,  ROUND(125000+ABS(MROUND(S101,10)- 1000000)*0.3,0), 0)))),IF(OR(B101="2017-2018",B101="2018-2019",B101="2019-2020",AND(B101="2020-2021",'Basic Information'!$AG$12="No"),AND(B101="2021-2022",'Basic Information'!$AG$15="No"),AND(B101="2022-2023",'Basic Information'!$AG$18="No"),AND(B101="2023-2024",'Basic Information'!$AG$21="Yes"),AND(B101="2024-2025",'Basic Information'!$AG$24="Yes")), IF(MROUND(S101,10)&lt;= 250000, 0, IF(AND(MROUND(S101,10)&gt; 250000, MROUND(S101,10)&lt;= 500000), ROUND(ABS(MROUND(S101,10)- 250000)*0.05,0), IF(AND(MROUND(S101,10)&gt; 500000, MROUND(S101,10)&lt;= 1000000),  ROUND(12500+ ABS(MROUND(S101,10)- 500000)*0.2,0),  IF(MROUND(S101,10)&gt; 1000000,  ROUND(112500+ABS(MROUND(S101,10)- 1000000)*0.3,0), 0)))),IF(OR(AND(B101="2020-2021",'Basic Information'!$AG$12="Yes"),AND(B101="2021-2022",'Basic Information'!$AG$15="Yes"),AND(B101="2022-2023",'Basic Information'!$AG$18="Yes")), IF(MROUND(S101,10)&lt;= 250000, 0, IF(AND(MROUND(S101,10)&gt; 250000, MROUND(S101,10)&lt;= 500000), ROUND(ABS(MROUND(S101,10)- 250000)*0.05,0), IF(AND(MROUND(S101,10)&gt; 500000, MROUND(S101,10)&lt;= 750000),  ROUND(12500+ ABS(MROUND(S101,10)- 500000)*0.1,0), IF(AND(MROUND(S101,10)&gt; 750000, MROUND(S101,10)&lt;= 1000000),  ROUND(37500+ ABS(MROUND(S101,10)- 750000)*0.15,0),IF(AND(MROUND(S101,10)&gt; 1000000, MROUND(S101,10)&lt;= 1250000),  ROUND(75000+ ABS(MROUND(S101,10)- 1000000)*0.2,0),IF(AND(MROUND(S101,10)&gt; 1250000, MROUND(S101,10)&lt;= 1500000),  ROUND(125000+ ABS(MROUND(S101,10)- 1250000)*0.25,0), IF(MROUND(S101,10)&gt; 1500000,  ROUND(187500+ABS(MROUND(S101,10)- 1500000)*0.3,0), 0))))))),IF(AND(B101="2023-2024",'Basic Information'!$AG$21="No"), IF(MROUND(S101,10)&lt;= 300000, 0, IF(AND(MROUND(S101,10)&gt; 300000, MROUND(S101,10)&lt;= 600000), ROUND(ABS(MROUND(S101,10)- 300000)*0.05,0), IF(AND(MROUND(S101,10)&gt; 600000, MROUND(S101,10)&lt;= 900000),  ROUND(15000+ ABS(MROUND(S101,10)- 600000)*0.1,0), IF(AND(MROUND(S101,10)&gt; 900000, MROUND(S101,10)&lt;= 1200000),  ROUND(45000+ ABS(MROUND(S101,10)- 900000)*0.15,0),IF(AND(MROUND(S101,10)&gt; 1200000, MROUND(S101,10)&lt;= 1500000),  ROUND(90000+ ABS(MROUND(S101,10)- 1200000)*0.2,0), IF(MROUND(S101,10)&gt; 1500000,  ROUND(150000+ABS(MROUND(S101,10)- 1500000)*0.3,0), 0)))))),IF(AND(B101="2024-2025",'Basic Information'!$AG$24="No"), IF(MROUND(S101,10)&lt;= 300000, 0, IF(AND(MROUND(S101,10)&gt; 300000, MROUND(S101,10)&lt;= 700000), ROUND(ABS(MROUND(S101,10)- 300000)*0.05,0), IF(AND(MROUND(S101,10)&gt; 700000, MROUND(S101,10)&lt;= 1000000),  ROUND(20000+ ABS(MROUND(S101,10)- 700000)*0.1,0), IF(AND(MROUND(S101,10)&gt; 1000000, MROUND(S101,10)&lt;= 1200000),  ROUND(50000+ ABS(MROUND(S101,10)- 1000000)*0.15,0),IF(AND(MROUND(S101,10)&gt; 1200000, MROUND(S101,10)&lt;= 1500000),  ROUND(80000+ ABS(MROUND(S101,10)- 1200000)*0.2,0), IF(MROUND(S101,10)&gt; 1500000,  ROUND(140000+ABS(MROUND(S101,10)- 1500000)*0.3,0), 0)))))),0)))))))))))))))))</f>
        <v>0</v>
      </c>
      <c r="AY101" s="6">
        <f>IF(OR(B101="2013-2014",B101="2014-2015",B101="2015-2016"),IF(AND(MROUND(S101,10)&lt;=500000,MROUND(S101,10)&lt;&gt;0),IF(AX101&lt;=2000, AX101,2000),0), IF(B101="2016-2017",IF(AND(MROUND(S101,10)&lt;=500000, MROUND(S101,10)&lt;&gt;0),IF(AX101&lt;=5000, AX101,5000),0), IF(OR(B101="2017-2018",B101="2018-2019"),IF(AND(MROUND(S101,10)&lt;=350000,MROUND(S101,10)&lt;&gt;0),IF(AX101&lt;=2500, AX101,2500),0), IF(OR(B101="2019-2020",B101="2020-2021",B101="2021-2022",B101="2022-2023",AND(B101="2023-2024",'Basic Information'!$AG$21="Yes"),AND(B101="2024-2025",'Basic Information'!$AG$24="Yes")),IF(AND(MROUND(S101,10)&lt;=500000,MROUND(S101,10)&lt;&gt;0),IF(AX101&lt;=12500, AX101,12500),0), IF(OR(AND(B101="2023-2024",'Basic Information'!$AG$21="No")),IF(AND(MROUND(S101,10)&lt;=700000,MROUND(S101,10)&lt;&gt;0),IF(AX101&lt;=25000, AX101,25000),IF(AND(MROUND(S101,10)&lt;&gt;0,(MROUND(S101,10)-700000)&lt;= AX101), AX101-(MROUND(S101,10)-700000),0)), IF(OR(AND(B101="2024-2025",'Basic Information'!$AG$24="No")),IF(AND(MROUND(S101,10)&lt;=700000,MROUND(S101,10)&lt;&gt;0),IF(AX101&lt;=20000, AX101,20000),IF(AND(MROUND(S101,10)&lt;&gt;0,(MROUND(S101,10)-700000)&lt;= AX101), AX101-(MROUND(S101,10)-700000),0)),0))))))</f>
        <v>0</v>
      </c>
      <c r="AZ101" s="6">
        <f t="shared" si="0"/>
        <v>0</v>
      </c>
      <c r="BA101" s="6">
        <f t="shared" si="7"/>
        <v>0</v>
      </c>
    </row>
    <row r="102" spans="2:53" x14ac:dyDescent="0.3">
      <c r="B102" s="497" t="s">
        <v>72</v>
      </c>
      <c r="C102" s="498"/>
      <c r="D102" s="498"/>
      <c r="E102" s="498"/>
      <c r="F102" s="499"/>
      <c r="G102" s="458">
        <f>SUM(G92:G101)</f>
        <v>0</v>
      </c>
      <c r="H102" s="459"/>
      <c r="I102" s="459"/>
      <c r="J102" s="459"/>
      <c r="K102" s="459"/>
      <c r="L102" s="460"/>
      <c r="M102" s="458">
        <f>SUM(M92:M101)</f>
        <v>0</v>
      </c>
      <c r="N102" s="459"/>
      <c r="O102" s="459"/>
      <c r="P102" s="459"/>
      <c r="Q102" s="459"/>
      <c r="R102" s="460"/>
      <c r="S102" s="458">
        <f>SUM(S92:S101)</f>
        <v>0</v>
      </c>
      <c r="T102" s="459"/>
      <c r="U102" s="459"/>
      <c r="V102" s="459"/>
      <c r="W102" s="459"/>
      <c r="X102" s="460"/>
      <c r="Y102" s="458">
        <f>SUM(Y92:Y101)</f>
        <v>0</v>
      </c>
      <c r="Z102" s="459"/>
      <c r="AA102" s="459"/>
      <c r="AB102" s="459"/>
      <c r="AC102" s="459"/>
      <c r="AD102" s="460"/>
      <c r="AE102" s="458">
        <f>SUM(AE92:AE101)</f>
        <v>0</v>
      </c>
      <c r="AF102" s="459"/>
      <c r="AG102" s="459"/>
      <c r="AH102" s="459"/>
      <c r="AI102" s="459"/>
      <c r="AJ102" s="461"/>
      <c r="AK102" s="462">
        <f>SUM(AK92:AK101)</f>
        <v>0</v>
      </c>
      <c r="AL102" s="463"/>
      <c r="AM102" s="463"/>
      <c r="AN102" s="463"/>
      <c r="AO102" s="463"/>
      <c r="AP102" s="464"/>
      <c r="AQ102" s="336" t="str">
        <f>IF(AND(M102=0,AF27=0),"",IF(AND(ISNUMBER(M102),OR(ISBLANK(AF27),AF27=0)),"Please enter the amount of Salary received as arrears in the cell 1(a) at the begining of the sheet. ",IF(AF27&lt;&gt;M102,"The sum of the amounts of salary arrears distributed over different years in Table A does not match the amount entered as salary received in arrears in cell 1(a) at the beginning of the sheet.","")))</f>
        <v/>
      </c>
      <c r="AR102" s="175"/>
      <c r="AS102" s="175"/>
      <c r="AT102" s="175"/>
      <c r="AU102" s="175"/>
      <c r="AV102" s="175"/>
      <c r="AW102" s="175"/>
      <c r="AX102" s="82"/>
    </row>
    <row r="103" spans="2:53" ht="30.75" customHeight="1" x14ac:dyDescent="0.3">
      <c r="B103" s="8"/>
      <c r="AQ103" s="175"/>
      <c r="AR103" s="175"/>
      <c r="AS103" s="175"/>
      <c r="AT103" s="175"/>
      <c r="AU103" s="175"/>
      <c r="AV103" s="175"/>
      <c r="AW103" s="175"/>
      <c r="AX103" s="82"/>
    </row>
    <row r="104" spans="2:53" x14ac:dyDescent="0.3">
      <c r="B104" s="342" t="s">
        <v>73</v>
      </c>
      <c r="C104" s="342"/>
      <c r="D104" s="342"/>
      <c r="E104" s="342"/>
      <c r="F104" s="342"/>
      <c r="G104" s="342"/>
      <c r="H104" s="342"/>
      <c r="I104" s="342"/>
      <c r="J104" s="342"/>
      <c r="K104" s="342"/>
      <c r="L104" s="8" t="s">
        <v>5</v>
      </c>
      <c r="M104" s="343" t="str">
        <f>PROPER(D45)</f>
        <v xml:space="preserve"> </v>
      </c>
      <c r="N104" s="343"/>
      <c r="O104" s="343"/>
      <c r="P104" s="343"/>
      <c r="Q104" s="343"/>
      <c r="R104" s="343"/>
      <c r="S104" s="343"/>
      <c r="T104" s="343"/>
      <c r="U104" s="343"/>
      <c r="V104" s="343"/>
      <c r="W104" s="343"/>
      <c r="X104" s="343"/>
      <c r="Y104" s="343"/>
      <c r="Z104" s="343"/>
      <c r="AB104" s="344" t="s">
        <v>51</v>
      </c>
      <c r="AC104" s="344"/>
      <c r="AD104" s="344"/>
      <c r="AE104" s="344"/>
      <c r="AF104" s="344"/>
      <c r="AG104" s="344"/>
      <c r="AH104" s="344"/>
      <c r="AI104" s="344"/>
      <c r="AJ104" s="344"/>
      <c r="AK104" s="344"/>
      <c r="AL104" s="344"/>
      <c r="AM104" s="344"/>
    </row>
  </sheetData>
  <sheetProtection algorithmName="SHA-512" hashValue="uLSToR00r+1xpJfJxW9WJ8mafqc8iFdRVj6gvWU1PL5+ItZqUgC/q3bWAWkVqVXLsnrF8s5sbbkoKFPv1CSOsQ==" saltValue="UfzUEywbjgxgH3YpbhnhLg==" spinCount="100000" sheet="1" objects="1" scenarios="1" selectLockedCells="1"/>
  <mergeCells count="201">
    <mergeCell ref="B102:F102"/>
    <mergeCell ref="G102:L102"/>
    <mergeCell ref="M102:R102"/>
    <mergeCell ref="S102:X102"/>
    <mergeCell ref="Y102:AD102"/>
    <mergeCell ref="AE102:AJ102"/>
    <mergeCell ref="AK102:AP102"/>
    <mergeCell ref="AK100:AP100"/>
    <mergeCell ref="B101:F101"/>
    <mergeCell ref="G101:L101"/>
    <mergeCell ref="M101:R101"/>
    <mergeCell ref="S101:X101"/>
    <mergeCell ref="Y101:AD101"/>
    <mergeCell ref="AE101:AJ101"/>
    <mergeCell ref="AK101:AP101"/>
    <mergeCell ref="B100:F100"/>
    <mergeCell ref="G100:L100"/>
    <mergeCell ref="M100:R100"/>
    <mergeCell ref="S100:X100"/>
    <mergeCell ref="Y100:AD100"/>
    <mergeCell ref="AE100:AJ100"/>
    <mergeCell ref="G99:L99"/>
    <mergeCell ref="M99:R99"/>
    <mergeCell ref="S99:X99"/>
    <mergeCell ref="Y99:AD99"/>
    <mergeCell ref="AE99:AJ99"/>
    <mergeCell ref="AK99:AP99"/>
    <mergeCell ref="B98:F98"/>
    <mergeCell ref="G98:L98"/>
    <mergeCell ref="M98:R98"/>
    <mergeCell ref="S98:X98"/>
    <mergeCell ref="Y98:AD98"/>
    <mergeCell ref="AE98:AJ98"/>
    <mergeCell ref="AK98:AP98"/>
    <mergeCell ref="B99:F99"/>
    <mergeCell ref="AK96:AP96"/>
    <mergeCell ref="B97:F97"/>
    <mergeCell ref="G97:L97"/>
    <mergeCell ref="M97:R97"/>
    <mergeCell ref="S97:X97"/>
    <mergeCell ref="Y97:AD97"/>
    <mergeCell ref="AE97:AJ97"/>
    <mergeCell ref="AK97:AP97"/>
    <mergeCell ref="B96:F96"/>
    <mergeCell ref="G96:L96"/>
    <mergeCell ref="M96:R96"/>
    <mergeCell ref="S96:X96"/>
    <mergeCell ref="Y96:AD96"/>
    <mergeCell ref="AE96:AJ96"/>
    <mergeCell ref="AK94:AP94"/>
    <mergeCell ref="B95:F95"/>
    <mergeCell ref="G95:L95"/>
    <mergeCell ref="M95:R95"/>
    <mergeCell ref="S95:X95"/>
    <mergeCell ref="Y95:AD95"/>
    <mergeCell ref="AE95:AJ95"/>
    <mergeCell ref="AK95:AP95"/>
    <mergeCell ref="B94:F94"/>
    <mergeCell ref="G94:L94"/>
    <mergeCell ref="M94:R94"/>
    <mergeCell ref="S94:X94"/>
    <mergeCell ref="Y94:AD94"/>
    <mergeCell ref="AE94:AJ94"/>
    <mergeCell ref="B91:F91"/>
    <mergeCell ref="G91:L91"/>
    <mergeCell ref="M91:R91"/>
    <mergeCell ref="S91:X91"/>
    <mergeCell ref="Y91:AD91"/>
    <mergeCell ref="AE91:AJ91"/>
    <mergeCell ref="AK91:AP91"/>
    <mergeCell ref="AK92:AP92"/>
    <mergeCell ref="C79:C81"/>
    <mergeCell ref="D79:AE81"/>
    <mergeCell ref="AF79:AN81"/>
    <mergeCell ref="Q83:X83"/>
    <mergeCell ref="O84:AA84"/>
    <mergeCell ref="B85:F90"/>
    <mergeCell ref="G85:L90"/>
    <mergeCell ref="M85:R90"/>
    <mergeCell ref="S85:X90"/>
    <mergeCell ref="Y85:AD90"/>
    <mergeCell ref="AE85:AJ90"/>
    <mergeCell ref="AK85:AP90"/>
    <mergeCell ref="B93:F93"/>
    <mergeCell ref="G93:L93"/>
    <mergeCell ref="M93:R93"/>
    <mergeCell ref="S93:X93"/>
    <mergeCell ref="Y93:AD93"/>
    <mergeCell ref="AE93:AJ93"/>
    <mergeCell ref="AK93:AP93"/>
    <mergeCell ref="B92:F92"/>
    <mergeCell ref="G92:L92"/>
    <mergeCell ref="M92:R92"/>
    <mergeCell ref="S92:X92"/>
    <mergeCell ref="Y92:AD92"/>
    <mergeCell ref="AE92:AJ92"/>
    <mergeCell ref="C73:C75"/>
    <mergeCell ref="D73:AE75"/>
    <mergeCell ref="AF73:AN75"/>
    <mergeCell ref="C76:C78"/>
    <mergeCell ref="D76:AE78"/>
    <mergeCell ref="AF76:AN78"/>
    <mergeCell ref="C69:C70"/>
    <mergeCell ref="D69:AE70"/>
    <mergeCell ref="AF69:AN70"/>
    <mergeCell ref="C71:C72"/>
    <mergeCell ref="D71:AE72"/>
    <mergeCell ref="AF71:AN72"/>
    <mergeCell ref="C64:C65"/>
    <mergeCell ref="D64:AE65"/>
    <mergeCell ref="AF64:AN65"/>
    <mergeCell ref="C66:C68"/>
    <mergeCell ref="D66:AE68"/>
    <mergeCell ref="AF66:AN68"/>
    <mergeCell ref="R57:X57"/>
    <mergeCell ref="O58:AA58"/>
    <mergeCell ref="M60:AC60"/>
    <mergeCell ref="C62:C63"/>
    <mergeCell ref="D62:AE63"/>
    <mergeCell ref="AF62:AN63"/>
    <mergeCell ref="C46:AD46"/>
    <mergeCell ref="C49:F49"/>
    <mergeCell ref="AC49:AN50"/>
    <mergeCell ref="C51:F51"/>
    <mergeCell ref="H51:P51"/>
    <mergeCell ref="AC51:AN51"/>
    <mergeCell ref="C40:C41"/>
    <mergeCell ref="D40:E41"/>
    <mergeCell ref="F40:AE41"/>
    <mergeCell ref="AF40:AN41"/>
    <mergeCell ref="P43:Z43"/>
    <mergeCell ref="D45:U45"/>
    <mergeCell ref="V45:AN45"/>
    <mergeCell ref="H49:U49"/>
    <mergeCell ref="G25:Z25"/>
    <mergeCell ref="AA25:AL25"/>
    <mergeCell ref="C32:C37"/>
    <mergeCell ref="D32:E37"/>
    <mergeCell ref="F32:AE37"/>
    <mergeCell ref="AF32:AN37"/>
    <mergeCell ref="C38:C39"/>
    <mergeCell ref="D38:E39"/>
    <mergeCell ref="F38:AE39"/>
    <mergeCell ref="AF38:AN39"/>
    <mergeCell ref="C27:C28"/>
    <mergeCell ref="D27:E28"/>
    <mergeCell ref="F27:AE28"/>
    <mergeCell ref="AF27:AN28"/>
    <mergeCell ref="C29:C31"/>
    <mergeCell ref="D29:E31"/>
    <mergeCell ref="F29:AE31"/>
    <mergeCell ref="AF29:AN31"/>
    <mergeCell ref="U14:AN14"/>
    <mergeCell ref="D15:S15"/>
    <mergeCell ref="U15:AN15"/>
    <mergeCell ref="D22:S22"/>
    <mergeCell ref="U22:AN22"/>
    <mergeCell ref="C24:AN24"/>
    <mergeCell ref="D19:S19"/>
    <mergeCell ref="U19:AN19"/>
    <mergeCell ref="D20:S20"/>
    <mergeCell ref="U20:AN20"/>
    <mergeCell ref="D21:S21"/>
    <mergeCell ref="U21:AN21"/>
    <mergeCell ref="AQ102:AW103"/>
    <mergeCell ref="B104:K104"/>
    <mergeCell ref="M104:Z104"/>
    <mergeCell ref="AB104:AM104"/>
    <mergeCell ref="B2:AN2"/>
    <mergeCell ref="B3:AN3"/>
    <mergeCell ref="B5:AN5"/>
    <mergeCell ref="D6:AN6"/>
    <mergeCell ref="B7:AN7"/>
    <mergeCell ref="B8:AN8"/>
    <mergeCell ref="C10:AN10"/>
    <mergeCell ref="C11:C19"/>
    <mergeCell ref="D11:S11"/>
    <mergeCell ref="U11:AN11"/>
    <mergeCell ref="D12:AN12"/>
    <mergeCell ref="D16:S16"/>
    <mergeCell ref="U16:AN16"/>
    <mergeCell ref="D17:S17"/>
    <mergeCell ref="U17:AN17"/>
    <mergeCell ref="D18:S18"/>
    <mergeCell ref="U18:AN18"/>
    <mergeCell ref="D13:S13"/>
    <mergeCell ref="U13:AN13"/>
    <mergeCell ref="D14:S14"/>
    <mergeCell ref="AQ79:AW81"/>
    <mergeCell ref="AR2:AW4"/>
    <mergeCell ref="AR5:AT6"/>
    <mergeCell ref="AS7:AV8"/>
    <mergeCell ref="AR9:AV10"/>
    <mergeCell ref="AR11:AW12"/>
    <mergeCell ref="AR13:AW14"/>
    <mergeCell ref="AS15:AW15"/>
    <mergeCell ref="AS16:AU16"/>
    <mergeCell ref="AV16:AW16"/>
    <mergeCell ref="AR18:AW21"/>
    <mergeCell ref="AQ27:AX28"/>
    <mergeCell ref="AQ62:AW63"/>
  </mergeCells>
  <dataValidations count="5">
    <dataValidation type="list" allowBlank="1" showInputMessage="1" showErrorMessage="1" sqref="U21:AN21" xr:uid="{BD2E4E7F-9DD4-497E-BA80-5B5702C7F017}">
      <formula1>"Select, RES- Resident, NRI- Non Resident, NOR- Resident but not Ordinary Resident"</formula1>
    </dataValidation>
    <dataValidation type="list" allowBlank="1" showInputMessage="1" showErrorMessage="1" sqref="U22:AN22" xr:uid="{63071164-0D75-4A4B-A503-75F3474170B3}">
      <formula1>"Select, Male, Female"</formula1>
    </dataValidation>
    <dataValidation type="whole" operator="greaterThanOrEqual" allowBlank="1" showInputMessage="1" showErrorMessage="1" error="Please enter a valid amount." sqref="G92:R101 AF27:AN28" xr:uid="{DFE9E246-DD17-49A5-ACDA-49B1B800AC73}">
      <formula1>0</formula1>
    </dataValidation>
    <dataValidation type="list" allowBlank="1" showInputMessage="1" showErrorMessage="1" sqref="B92:F101" xr:uid="{3DF983F6-E60F-4242-B329-DDC2D6614C1F}">
      <formula1>"Select, 2024-2025, 2023-2024, 2022-2023, 2021-2022, 2020-2021, 2019-2020, 2018-2019, 2017-2018, 2016-2017, 2015-2016, 2014-2015, 2013-2014, 2012-2013, 2011-2012, 2010-2011, 2009-2010, 2008-2009, 2007-2008, 2006-2007, 2005-2006"</formula1>
    </dataValidation>
    <dataValidation type="list" allowBlank="1" showInputMessage="1" showErrorMessage="1" sqref="AA25" xr:uid="{BE4545E2-13E5-444E-8AE2-B582DAC002B3}">
      <formula1>"Select,2025-2026,2024-2025,2023-2024,2022-2023,2021-2022,2020-2021, 2019-2020, 2018-2019, 2017-2018, 2016-2017, 2015-2016, 2014-2015, 2013-2014, 2012-2013, 2011-2012, 2010-2011, 2009-2010, 2008-2009, 2007-2008, 2006-2007"</formula1>
    </dataValidation>
  </dataValidations>
  <pageMargins left="0.51181102362204722" right="0.11811023622047245" top="0.55118110236220474" bottom="0.35433070866141736" header="0.31496062992125984" footer="0.31496062992125984"/>
  <pageSetup paperSize="9" orientation="portrait" blackAndWhite="1" errors="blank" r:id="rId1"/>
  <headerFooter>
    <oddFooter>&amp;CPage &amp;P of &amp;N</oddFooter>
  </headerFooter>
  <ignoredErrors>
    <ignoredError sqref="M102 G102" formulaRange="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38E6-9559-433D-B126-5A924F5892C1}">
  <dimension ref="B1:BW233"/>
  <sheetViews>
    <sheetView showGridLines="0" showRowColHeaders="0" workbookViewId="0">
      <selection activeCell="BK1" sqref="BK1"/>
    </sheetView>
  </sheetViews>
  <sheetFormatPr defaultColWidth="9.109375" defaultRowHeight="14.4" x14ac:dyDescent="0.3"/>
  <cols>
    <col min="2" max="7" width="1.44140625" customWidth="1"/>
    <col min="8" max="16" width="1.6640625" customWidth="1"/>
    <col min="17" max="22" width="1.5546875" customWidth="1"/>
    <col min="23" max="28" width="1.6640625" customWidth="1"/>
    <col min="29" max="33" width="1.5546875" customWidth="1"/>
    <col min="34" max="46" width="1.6640625" customWidth="1"/>
    <col min="47" max="63" width="1.5546875" customWidth="1"/>
    <col min="64" max="66" width="1.6640625" customWidth="1"/>
    <col min="67" max="67" width="1.5546875" customWidth="1"/>
  </cols>
  <sheetData>
    <row r="1" spans="2:74" ht="18.600000000000001" customHeight="1" x14ac:dyDescent="0.3">
      <c r="B1" s="177" t="str">
        <f>IF(ISBLANK('Basic Information'!V3),"",UPPER('Basic Information'!V3))</f>
        <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c r="AX1" s="178"/>
      <c r="AY1" s="178"/>
      <c r="AZ1" s="178"/>
      <c r="BA1" s="178"/>
      <c r="BB1" s="178"/>
      <c r="BC1" s="178"/>
      <c r="BD1" s="178"/>
      <c r="BE1" s="178"/>
      <c r="BF1" s="519"/>
      <c r="BG1" s="519"/>
      <c r="BH1" s="519"/>
      <c r="BI1" s="519"/>
      <c r="BJ1" s="520"/>
    </row>
    <row r="2" spans="2:74" ht="18.600000000000001" customHeight="1" x14ac:dyDescent="0.3">
      <c r="B2" s="181" t="s">
        <v>239</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65"/>
      <c r="BG2" s="165"/>
      <c r="BH2" s="165"/>
      <c r="BI2" s="165"/>
      <c r="BJ2" s="512"/>
      <c r="BQ2" s="289" t="s">
        <v>122</v>
      </c>
      <c r="BR2" s="290"/>
      <c r="BS2" s="290"/>
      <c r="BT2" s="290"/>
      <c r="BU2" s="290"/>
    </row>
    <row r="3" spans="2:74" ht="18.600000000000001" customHeight="1" x14ac:dyDescent="0.3">
      <c r="B3" s="185" t="s">
        <v>161</v>
      </c>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65"/>
      <c r="BG3" s="165"/>
      <c r="BH3" s="165"/>
      <c r="BI3" s="165"/>
      <c r="BJ3" s="512"/>
      <c r="BQ3" s="290"/>
      <c r="BR3" s="290"/>
      <c r="BS3" s="290"/>
      <c r="BT3" s="290"/>
      <c r="BU3" s="290"/>
    </row>
    <row r="4" spans="2:74" ht="8.1" customHeight="1" x14ac:dyDescent="0.3">
      <c r="B4" s="20"/>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J4" s="21"/>
      <c r="BQ4" s="510" t="s">
        <v>20</v>
      </c>
      <c r="BR4" s="513"/>
      <c r="BS4" s="513"/>
      <c r="BT4" s="513"/>
      <c r="BU4" s="513"/>
    </row>
    <row r="5" spans="2:74" ht="16.5" customHeight="1" x14ac:dyDescent="0.3">
      <c r="B5" s="267" t="s">
        <v>13</v>
      </c>
      <c r="C5" s="109"/>
      <c r="D5" s="109"/>
      <c r="E5" s="109"/>
      <c r="F5" s="109"/>
      <c r="G5" s="109"/>
      <c r="H5" s="109"/>
      <c r="I5" s="110"/>
      <c r="J5" s="110"/>
      <c r="K5" s="14" t="s">
        <v>5</v>
      </c>
      <c r="L5" s="264" t="str">
        <f>IF(ISBLANK('Basic Information'!L6)," ",PROPER('Basic Information'!L6))</f>
        <v xml:space="preserve"> </v>
      </c>
      <c r="M5" s="514"/>
      <c r="N5" s="514"/>
      <c r="O5" s="514"/>
      <c r="P5" s="514"/>
      <c r="Q5" s="514"/>
      <c r="R5" s="514"/>
      <c r="S5" s="514"/>
      <c r="T5" s="514"/>
      <c r="U5" s="514"/>
      <c r="V5" s="514"/>
      <c r="W5" s="514"/>
      <c r="X5" s="514"/>
      <c r="Y5" s="514"/>
      <c r="Z5" s="514"/>
      <c r="AA5" s="514"/>
      <c r="AB5" s="514"/>
      <c r="AC5" s="514"/>
      <c r="AD5" s="514"/>
      <c r="AE5" s="515"/>
      <c r="AF5" s="29"/>
      <c r="AG5" s="109" t="s">
        <v>105</v>
      </c>
      <c r="AH5" s="110"/>
      <c r="AI5" s="110"/>
      <c r="AJ5" s="110"/>
      <c r="AK5" s="110"/>
      <c r="AL5" s="110"/>
      <c r="AM5" s="14" t="s">
        <v>5</v>
      </c>
      <c r="AN5" s="264" t="str">
        <f>IF(ISBLANK('Basic Information'!AK6)," ",UPPER('Basic Information'!AK6))</f>
        <v xml:space="preserve"> </v>
      </c>
      <c r="AO5" s="265"/>
      <c r="AP5" s="265"/>
      <c r="AQ5" s="265"/>
      <c r="AR5" s="265"/>
      <c r="AS5" s="265"/>
      <c r="AT5" s="265"/>
      <c r="AU5" s="265"/>
      <c r="AV5" s="265"/>
      <c r="AW5" s="265"/>
      <c r="AX5" s="265"/>
      <c r="AY5" s="265"/>
      <c r="AZ5" s="265"/>
      <c r="BA5" s="265"/>
      <c r="BB5" s="265"/>
      <c r="BC5" s="265"/>
      <c r="BD5" s="265"/>
      <c r="BE5" s="266"/>
      <c r="BJ5" s="21"/>
      <c r="BQ5" s="513"/>
      <c r="BR5" s="513"/>
      <c r="BS5" s="513"/>
      <c r="BT5" s="513"/>
      <c r="BU5" s="513"/>
    </row>
    <row r="6" spans="2:74" ht="7.5" customHeight="1" x14ac:dyDescent="0.35">
      <c r="B6" s="20"/>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J6" s="21"/>
      <c r="BQ6" s="46"/>
      <c r="BR6" s="160" t="s">
        <v>121</v>
      </c>
      <c r="BS6" s="161"/>
      <c r="BT6" s="161"/>
      <c r="BU6" s="161"/>
    </row>
    <row r="7" spans="2:74" ht="16.5" customHeight="1" x14ac:dyDescent="0.35">
      <c r="B7" s="268" t="s">
        <v>15</v>
      </c>
      <c r="C7" s="269"/>
      <c r="D7" s="269"/>
      <c r="E7" s="269"/>
      <c r="F7" s="269"/>
      <c r="G7" s="269"/>
      <c r="H7" s="269"/>
      <c r="I7" s="269"/>
      <c r="J7" s="516"/>
      <c r="K7" s="85" t="s">
        <v>5</v>
      </c>
      <c r="L7" s="264" t="str">
        <f>IF(ISBLANK('Basic Information'!L10)," ",PROPER('Basic Information'!L10))</f>
        <v xml:space="preserve"> </v>
      </c>
      <c r="M7" s="517"/>
      <c r="N7" s="517"/>
      <c r="O7" s="517"/>
      <c r="P7" s="517"/>
      <c r="Q7" s="517"/>
      <c r="R7" s="517"/>
      <c r="S7" s="517"/>
      <c r="T7" s="517"/>
      <c r="U7" s="517"/>
      <c r="V7" s="517"/>
      <c r="W7" s="517"/>
      <c r="X7" s="517"/>
      <c r="Y7" s="517"/>
      <c r="Z7" s="517"/>
      <c r="AA7" s="517"/>
      <c r="AB7" s="517"/>
      <c r="AC7" s="517"/>
      <c r="AD7" s="517"/>
      <c r="AE7" s="518"/>
      <c r="AF7" s="17"/>
      <c r="AG7" s="17"/>
      <c r="AH7" s="33" t="str">
        <f>IF(AND(ISBLANK(L7),ISNUMBER(K12)),"Please select a Designation","")</f>
        <v/>
      </c>
      <c r="AI7" s="17"/>
      <c r="AJ7" s="17"/>
      <c r="AK7" s="17"/>
      <c r="AL7" s="17"/>
      <c r="AM7" s="17"/>
      <c r="AN7" s="17"/>
      <c r="AO7" s="17"/>
      <c r="AP7" s="17"/>
      <c r="AQ7" s="17"/>
      <c r="AR7" s="17"/>
      <c r="AS7" s="17"/>
      <c r="AT7" s="17"/>
      <c r="AU7" s="17"/>
      <c r="AV7" s="17"/>
      <c r="AW7" s="17"/>
      <c r="AX7" s="17"/>
      <c r="AY7" s="17"/>
      <c r="AZ7" s="17"/>
      <c r="BA7" s="17"/>
      <c r="BB7" s="17"/>
      <c r="BC7" s="17"/>
      <c r="BD7" s="17"/>
      <c r="BE7" s="17"/>
      <c r="BF7" s="18"/>
      <c r="BG7" s="18"/>
      <c r="BH7" s="18"/>
      <c r="BI7" s="18"/>
      <c r="BJ7" s="23"/>
      <c r="BP7" s="6">
        <f>IF(ISTEXT(L7),IF(OR(L7="Assistant Professor - Level 10",L7="College Librarian - Level 10"),10,IF(OR(L7="Assistant Professor - Level 11",L7="College Librarian - Level 11"),11,IF(OR(L7="Assistant Professor - Level 12",L7="College Librarian - Level 12"),12,IF(OR(L7="Associate Professor - Level 13A",L7="College Librarian - Level 13A"),13,IF(L7="Professor - Level 14",14,IF(L7="Professor - Level 15",15,IF(L7="Principal",16,0))))))),0)</f>
        <v>0</v>
      </c>
      <c r="BQ7" s="46"/>
      <c r="BR7" s="161"/>
      <c r="BS7" s="161"/>
      <c r="BT7" s="161"/>
      <c r="BU7" s="161"/>
    </row>
    <row r="8" spans="2:74" ht="9" customHeight="1" x14ac:dyDescent="0.3">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P8" s="6">
        <f>IF(ISBLANK('Basic Information'!O16),0,'Basic Information'!O16)</f>
        <v>0</v>
      </c>
      <c r="BQ8" s="510" t="s">
        <v>21</v>
      </c>
      <c r="BR8" s="511"/>
      <c r="BS8" s="511"/>
      <c r="BT8" s="511"/>
      <c r="BU8" s="511"/>
    </row>
    <row r="9" spans="2:74" ht="15" customHeight="1" x14ac:dyDescent="0.3">
      <c r="B9" s="135" t="s">
        <v>229</v>
      </c>
      <c r="C9" s="136"/>
      <c r="D9" s="136"/>
      <c r="E9" s="136"/>
      <c r="F9" s="136"/>
      <c r="G9" s="136"/>
      <c r="H9" s="136"/>
      <c r="I9" s="136"/>
      <c r="J9" s="136"/>
      <c r="K9" s="136"/>
      <c r="L9" s="136"/>
      <c r="M9" s="136"/>
      <c r="N9" s="136"/>
      <c r="O9" s="136"/>
      <c r="P9" s="136"/>
      <c r="Q9" s="136"/>
      <c r="R9" s="136"/>
      <c r="S9" s="136"/>
      <c r="T9" s="136"/>
      <c r="U9" s="137"/>
      <c r="V9" s="134"/>
      <c r="W9" s="134"/>
      <c r="X9" s="134"/>
      <c r="Y9" s="134"/>
      <c r="Z9" s="134"/>
      <c r="AA9" s="134"/>
      <c r="AB9" s="134"/>
      <c r="AC9" s="134"/>
      <c r="AD9" s="134"/>
      <c r="AE9" s="134"/>
      <c r="AF9" s="134"/>
      <c r="AG9" s="134"/>
      <c r="AH9" s="134"/>
      <c r="AI9" s="15"/>
      <c r="AJ9" s="15"/>
      <c r="AK9" s="15"/>
      <c r="AL9" s="15"/>
      <c r="AM9" s="15"/>
      <c r="AN9" s="15"/>
      <c r="AO9" s="15"/>
      <c r="AP9" s="15"/>
      <c r="AQ9" s="15"/>
      <c r="AR9" s="15"/>
      <c r="AS9" s="15"/>
      <c r="AT9" s="15"/>
      <c r="AU9" s="15"/>
      <c r="AV9" s="15"/>
      <c r="AW9" s="15"/>
      <c r="AX9" s="15"/>
      <c r="AY9" s="15"/>
      <c r="AZ9" s="15"/>
      <c r="BA9" s="15"/>
      <c r="BB9" s="15"/>
      <c r="BC9" s="15"/>
      <c r="BD9" s="15"/>
      <c r="BE9" s="15"/>
      <c r="BF9" s="16"/>
      <c r="BG9" s="16"/>
      <c r="BH9" s="16"/>
      <c r="BI9" s="16"/>
      <c r="BJ9" s="28"/>
      <c r="BP9" s="6">
        <f>IF(ISTEXT('Basic Information'!L14),IF('Basic Information'!L14="Class A - Corporation limits",10,IF('Basic Information'!L14="Class B - Municipalities at District Headquarters",8,IF('Basic Information'!L14="Class C - Municipalities",6,IF('Basic Information'!L14="Class D - Panchayaths",4,0)))),0)</f>
        <v>0</v>
      </c>
      <c r="BQ9" s="511"/>
      <c r="BR9" s="511"/>
      <c r="BS9" s="511"/>
      <c r="BT9" s="511"/>
      <c r="BU9" s="511"/>
    </row>
    <row r="10" spans="2:74" ht="5.0999999999999996" customHeight="1" x14ac:dyDescent="0.3">
      <c r="B10" s="30"/>
      <c r="C10" s="31"/>
      <c r="D10" s="31"/>
      <c r="E10" s="31"/>
      <c r="F10" s="31"/>
      <c r="G10" s="31"/>
      <c r="H10" s="31"/>
      <c r="I10" s="31"/>
      <c r="J10" s="31"/>
      <c r="K10" s="31"/>
      <c r="L10" s="31"/>
      <c r="M10" s="31"/>
      <c r="N10" s="31"/>
      <c r="O10" s="31"/>
      <c r="P10" s="31"/>
      <c r="Q10" s="31"/>
      <c r="R10" s="31"/>
      <c r="S10" s="31"/>
      <c r="T10" s="31"/>
      <c r="U10" s="3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J10" s="21"/>
      <c r="BQ10" s="164" t="s">
        <v>120</v>
      </c>
      <c r="BR10" s="165"/>
      <c r="BS10" s="165"/>
      <c r="BT10" s="165"/>
      <c r="BU10" s="165"/>
      <c r="BV10" s="165"/>
    </row>
    <row r="11" spans="2:74" ht="15" customHeight="1" x14ac:dyDescent="0.3">
      <c r="B11" s="272" t="s">
        <v>0</v>
      </c>
      <c r="C11" s="349"/>
      <c r="D11" s="349"/>
      <c r="E11" s="349"/>
      <c r="F11" s="349"/>
      <c r="G11" s="349"/>
      <c r="H11" s="349"/>
      <c r="I11" s="349"/>
      <c r="J11" s="349"/>
      <c r="K11" s="145" t="s">
        <v>1</v>
      </c>
      <c r="L11" s="276"/>
      <c r="M11" s="276"/>
      <c r="N11" s="276"/>
      <c r="O11" s="276"/>
      <c r="P11" s="276"/>
      <c r="Q11" s="263"/>
      <c r="R11" s="145" t="s">
        <v>2</v>
      </c>
      <c r="S11" s="263"/>
      <c r="T11" s="263"/>
      <c r="U11" s="263"/>
      <c r="V11" s="263"/>
      <c r="W11" s="263"/>
      <c r="X11" s="278"/>
      <c r="Y11" s="146" t="s">
        <v>3</v>
      </c>
      <c r="Z11" s="263"/>
      <c r="AA11" s="263"/>
      <c r="AB11" s="263"/>
      <c r="AC11" s="263"/>
      <c r="AD11" s="263"/>
      <c r="AE11" s="278"/>
      <c r="AF11" s="146" t="s">
        <v>4</v>
      </c>
      <c r="AG11" s="263"/>
      <c r="AH11" s="263"/>
      <c r="AI11" s="263"/>
      <c r="AJ11" s="263"/>
      <c r="AK11" s="263"/>
      <c r="AL11" s="278"/>
      <c r="BJ11" s="21"/>
      <c r="BQ11" s="165"/>
      <c r="BR11" s="165"/>
      <c r="BS11" s="165"/>
      <c r="BT11" s="165"/>
      <c r="BU11" s="165"/>
      <c r="BV11" s="165"/>
    </row>
    <row r="12" spans="2:74" ht="16.5" customHeight="1" x14ac:dyDescent="0.3">
      <c r="B12" s="233" t="s">
        <v>28</v>
      </c>
      <c r="C12" s="500"/>
      <c r="D12" s="500"/>
      <c r="E12" s="500"/>
      <c r="F12" s="500"/>
      <c r="G12" s="500"/>
      <c r="H12" s="501">
        <v>2025</v>
      </c>
      <c r="I12" s="502"/>
      <c r="J12" s="503"/>
      <c r="K12" s="504">
        <f>IF(ISNUMBER('Income Tax Proforma - Old Schem'!K12),'Income Tax Proforma - Old Schem'!K12,0)</f>
        <v>0</v>
      </c>
      <c r="L12" s="505"/>
      <c r="M12" s="505"/>
      <c r="N12" s="505"/>
      <c r="O12" s="505"/>
      <c r="P12" s="505"/>
      <c r="Q12" s="505"/>
      <c r="R12" s="504">
        <f>IF(ISNUMBER('Income Tax Proforma - Old Schem'!Q12),'Income Tax Proforma - Old Schem'!Q12,0)</f>
        <v>0</v>
      </c>
      <c r="S12" s="505"/>
      <c r="T12" s="505"/>
      <c r="U12" s="505"/>
      <c r="V12" s="505"/>
      <c r="W12" s="505"/>
      <c r="X12" s="506"/>
      <c r="Y12" s="504">
        <f>IF(ISNUMBER('Income Tax Proforma - Old Schem'!W12),'Income Tax Proforma - Old Schem'!W12,0)</f>
        <v>0</v>
      </c>
      <c r="Z12" s="505"/>
      <c r="AA12" s="505"/>
      <c r="AB12" s="505"/>
      <c r="AC12" s="505"/>
      <c r="AD12" s="505"/>
      <c r="AE12" s="505"/>
      <c r="AF12" s="507">
        <f>SUM(K12,R12,Y12)</f>
        <v>0</v>
      </c>
      <c r="AG12" s="508"/>
      <c r="AH12" s="508"/>
      <c r="AI12" s="508"/>
      <c r="AJ12" s="508"/>
      <c r="AK12" s="508"/>
      <c r="AL12" s="509"/>
      <c r="BJ12" s="21"/>
      <c r="BQ12" s="172" t="s">
        <v>36</v>
      </c>
      <c r="BR12" s="173"/>
      <c r="BS12" s="173"/>
      <c r="BT12" s="173"/>
      <c r="BU12" s="173"/>
      <c r="BV12" s="173"/>
    </row>
    <row r="13" spans="2:74" ht="16.5" customHeight="1" x14ac:dyDescent="0.3">
      <c r="B13" s="233" t="s">
        <v>29</v>
      </c>
      <c r="C13" s="500"/>
      <c r="D13" s="500"/>
      <c r="E13" s="500"/>
      <c r="F13" s="500"/>
      <c r="G13" s="500"/>
      <c r="H13" s="501">
        <v>2025</v>
      </c>
      <c r="I13" s="502"/>
      <c r="J13" s="503"/>
      <c r="K13" s="504">
        <f>IF(ISNUMBER('Income Tax Proforma - Old Schem'!K13),'Income Tax Proforma - Old Schem'!K13,0)</f>
        <v>0</v>
      </c>
      <c r="L13" s="505"/>
      <c r="M13" s="505"/>
      <c r="N13" s="505"/>
      <c r="O13" s="505"/>
      <c r="P13" s="505"/>
      <c r="Q13" s="505"/>
      <c r="R13" s="504">
        <f>IF(ISNUMBER('Income Tax Proforma - Old Schem'!Q13),'Income Tax Proforma - Old Schem'!Q13,0)</f>
        <v>0</v>
      </c>
      <c r="S13" s="505"/>
      <c r="T13" s="505"/>
      <c r="U13" s="505"/>
      <c r="V13" s="505"/>
      <c r="W13" s="505"/>
      <c r="X13" s="506"/>
      <c r="Y13" s="504">
        <f>IF(ISNUMBER('Income Tax Proforma - Old Schem'!W13),'Income Tax Proforma - Old Schem'!W13,0)</f>
        <v>0</v>
      </c>
      <c r="Z13" s="505"/>
      <c r="AA13" s="505"/>
      <c r="AB13" s="505"/>
      <c r="AC13" s="505"/>
      <c r="AD13" s="505"/>
      <c r="AE13" s="505"/>
      <c r="AF13" s="507">
        <f t="shared" ref="AF13:AF23" si="0">SUM(K13,R13,Y13)</f>
        <v>0</v>
      </c>
      <c r="AG13" s="508"/>
      <c r="AH13" s="508"/>
      <c r="AI13" s="508"/>
      <c r="AJ13" s="508"/>
      <c r="AK13" s="508"/>
      <c r="AL13" s="509"/>
      <c r="BJ13" s="21"/>
      <c r="BQ13" s="115"/>
      <c r="BR13" s="115"/>
      <c r="BS13" s="115"/>
      <c r="BT13" s="115"/>
      <c r="BU13" s="115"/>
      <c r="BV13" s="115"/>
    </row>
    <row r="14" spans="2:74" ht="16.5" customHeight="1" x14ac:dyDescent="0.3">
      <c r="B14" s="233" t="s">
        <v>30</v>
      </c>
      <c r="C14" s="500"/>
      <c r="D14" s="500"/>
      <c r="E14" s="500"/>
      <c r="F14" s="500"/>
      <c r="G14" s="500"/>
      <c r="H14" s="501">
        <v>2025</v>
      </c>
      <c r="I14" s="502"/>
      <c r="J14" s="503"/>
      <c r="K14" s="504">
        <f>IF(ISNUMBER('Income Tax Proforma - Old Schem'!K14),'Income Tax Proforma - Old Schem'!K14,0)</f>
        <v>0</v>
      </c>
      <c r="L14" s="505"/>
      <c r="M14" s="505"/>
      <c r="N14" s="505"/>
      <c r="O14" s="505"/>
      <c r="P14" s="505"/>
      <c r="Q14" s="505"/>
      <c r="R14" s="504">
        <f>IF(ISNUMBER('Income Tax Proforma - Old Schem'!Q14),'Income Tax Proforma - Old Schem'!Q14,0)</f>
        <v>0</v>
      </c>
      <c r="S14" s="505"/>
      <c r="T14" s="505"/>
      <c r="U14" s="505"/>
      <c r="V14" s="505"/>
      <c r="W14" s="505"/>
      <c r="X14" s="506"/>
      <c r="Y14" s="504">
        <f>IF(ISNUMBER('Income Tax Proforma - Old Schem'!W14),'Income Tax Proforma - Old Schem'!W14,0)</f>
        <v>0</v>
      </c>
      <c r="Z14" s="505"/>
      <c r="AA14" s="505"/>
      <c r="AB14" s="505"/>
      <c r="AC14" s="505"/>
      <c r="AD14" s="505"/>
      <c r="AE14" s="505"/>
      <c r="AF14" s="507">
        <f t="shared" si="0"/>
        <v>0</v>
      </c>
      <c r="AG14" s="508"/>
      <c r="AH14" s="508"/>
      <c r="AI14" s="508"/>
      <c r="AJ14" s="508"/>
      <c r="AK14" s="508"/>
      <c r="AL14" s="509"/>
      <c r="BJ14" s="21"/>
      <c r="BR14" s="166" t="s">
        <v>22</v>
      </c>
      <c r="BS14" s="166"/>
      <c r="BT14" s="166"/>
      <c r="BU14" s="166"/>
      <c r="BV14" s="166"/>
    </row>
    <row r="15" spans="2:74" ht="16.5" customHeight="1" x14ac:dyDescent="0.3">
      <c r="B15" s="233" t="s">
        <v>31</v>
      </c>
      <c r="C15" s="500"/>
      <c r="D15" s="500"/>
      <c r="E15" s="500"/>
      <c r="F15" s="500"/>
      <c r="G15" s="500"/>
      <c r="H15" s="501">
        <v>2025</v>
      </c>
      <c r="I15" s="502"/>
      <c r="J15" s="503"/>
      <c r="K15" s="504">
        <f>IF(ISNUMBER('Income Tax Proforma - Old Schem'!K15),'Income Tax Proforma - Old Schem'!K15,0)</f>
        <v>0</v>
      </c>
      <c r="L15" s="505"/>
      <c r="M15" s="505"/>
      <c r="N15" s="505"/>
      <c r="O15" s="505"/>
      <c r="P15" s="505"/>
      <c r="Q15" s="505"/>
      <c r="R15" s="504">
        <f>IF(ISNUMBER('Income Tax Proforma - Old Schem'!Q15),'Income Tax Proforma - Old Schem'!Q15,0)</f>
        <v>0</v>
      </c>
      <c r="S15" s="505"/>
      <c r="T15" s="505"/>
      <c r="U15" s="505"/>
      <c r="V15" s="505"/>
      <c r="W15" s="505"/>
      <c r="X15" s="506"/>
      <c r="Y15" s="504">
        <f>IF(ISNUMBER('Income Tax Proforma - Old Schem'!W15),'Income Tax Proforma - Old Schem'!W15,0)</f>
        <v>0</v>
      </c>
      <c r="Z15" s="505"/>
      <c r="AA15" s="505"/>
      <c r="AB15" s="505"/>
      <c r="AC15" s="505"/>
      <c r="AD15" s="505"/>
      <c r="AE15" s="505"/>
      <c r="AF15" s="507">
        <f t="shared" si="0"/>
        <v>0</v>
      </c>
      <c r="AG15" s="508"/>
      <c r="AH15" s="508"/>
      <c r="AI15" s="508"/>
      <c r="AJ15" s="508"/>
      <c r="AK15" s="508"/>
      <c r="AL15" s="509"/>
      <c r="BJ15" s="21"/>
    </row>
    <row r="16" spans="2:74" ht="16.5" customHeight="1" x14ac:dyDescent="0.3">
      <c r="B16" s="233" t="s">
        <v>32</v>
      </c>
      <c r="C16" s="500"/>
      <c r="D16" s="500"/>
      <c r="E16" s="500"/>
      <c r="F16" s="500"/>
      <c r="G16" s="500"/>
      <c r="H16" s="501">
        <v>2025</v>
      </c>
      <c r="I16" s="502"/>
      <c r="J16" s="503"/>
      <c r="K16" s="504">
        <f>IF(ISNUMBER('Income Tax Proforma - Old Schem'!K16),'Income Tax Proforma - Old Schem'!K16,0)</f>
        <v>0</v>
      </c>
      <c r="L16" s="505"/>
      <c r="M16" s="505"/>
      <c r="N16" s="505"/>
      <c r="O16" s="505"/>
      <c r="P16" s="505"/>
      <c r="Q16" s="505"/>
      <c r="R16" s="504">
        <f>IF(ISNUMBER('Income Tax Proforma - Old Schem'!Q16),'Income Tax Proforma - Old Schem'!Q16,0)</f>
        <v>0</v>
      </c>
      <c r="S16" s="505"/>
      <c r="T16" s="505"/>
      <c r="U16" s="505"/>
      <c r="V16" s="505"/>
      <c r="W16" s="505"/>
      <c r="X16" s="506"/>
      <c r="Y16" s="504">
        <f>IF(ISNUMBER('Income Tax Proforma - Old Schem'!W16),'Income Tax Proforma - Old Schem'!W16,0)</f>
        <v>0</v>
      </c>
      <c r="Z16" s="505"/>
      <c r="AA16" s="505"/>
      <c r="AB16" s="505"/>
      <c r="AC16" s="505"/>
      <c r="AD16" s="505"/>
      <c r="AE16" s="505"/>
      <c r="AF16" s="507">
        <f t="shared" si="0"/>
        <v>0</v>
      </c>
      <c r="AG16" s="508"/>
      <c r="AH16" s="508"/>
      <c r="AI16" s="508"/>
      <c r="AJ16" s="508"/>
      <c r="AK16" s="508"/>
      <c r="AL16" s="509"/>
      <c r="BJ16" s="21"/>
      <c r="BP16" s="6"/>
      <c r="BQ16" s="170" t="s">
        <v>134</v>
      </c>
      <c r="BR16" s="171"/>
      <c r="BS16" s="171"/>
      <c r="BT16" s="171"/>
      <c r="BU16" s="171"/>
      <c r="BV16" s="171"/>
    </row>
    <row r="17" spans="2:74" ht="16.5" customHeight="1" x14ac:dyDescent="0.3">
      <c r="B17" s="233" t="s">
        <v>33</v>
      </c>
      <c r="C17" s="500"/>
      <c r="D17" s="500"/>
      <c r="E17" s="500"/>
      <c r="F17" s="500"/>
      <c r="G17" s="500"/>
      <c r="H17" s="501">
        <v>2025</v>
      </c>
      <c r="I17" s="502"/>
      <c r="J17" s="503"/>
      <c r="K17" s="504">
        <f>IF(ISNUMBER('Income Tax Proforma - Old Schem'!K17),'Income Tax Proforma - Old Schem'!K17,0)</f>
        <v>0</v>
      </c>
      <c r="L17" s="505"/>
      <c r="M17" s="505"/>
      <c r="N17" s="505"/>
      <c r="O17" s="505"/>
      <c r="P17" s="505"/>
      <c r="Q17" s="505"/>
      <c r="R17" s="504">
        <f>IF(ISNUMBER('Income Tax Proforma - Old Schem'!Q17),'Income Tax Proforma - Old Schem'!Q17,0)</f>
        <v>0</v>
      </c>
      <c r="S17" s="505"/>
      <c r="T17" s="505"/>
      <c r="U17" s="505"/>
      <c r="V17" s="505"/>
      <c r="W17" s="505"/>
      <c r="X17" s="506"/>
      <c r="Y17" s="504">
        <f>IF(ISNUMBER('Income Tax Proforma - Old Schem'!W17),'Income Tax Proforma - Old Schem'!W17,0)</f>
        <v>0</v>
      </c>
      <c r="Z17" s="505"/>
      <c r="AA17" s="505"/>
      <c r="AB17" s="505"/>
      <c r="AC17" s="505"/>
      <c r="AD17" s="505"/>
      <c r="AE17" s="505"/>
      <c r="AF17" s="507">
        <f t="shared" si="0"/>
        <v>0</v>
      </c>
      <c r="AG17" s="508"/>
      <c r="AH17" s="508"/>
      <c r="AI17" s="508"/>
      <c r="AJ17" s="508"/>
      <c r="AK17" s="508"/>
      <c r="AL17" s="509"/>
      <c r="BJ17" s="21"/>
      <c r="BQ17" s="171"/>
      <c r="BR17" s="171"/>
      <c r="BS17" s="171"/>
      <c r="BT17" s="171"/>
      <c r="BU17" s="171"/>
      <c r="BV17" s="171"/>
    </row>
    <row r="18" spans="2:74" ht="16.5" customHeight="1" x14ac:dyDescent="0.3">
      <c r="B18" s="233" t="s">
        <v>24</v>
      </c>
      <c r="C18" s="500"/>
      <c r="D18" s="500"/>
      <c r="E18" s="500"/>
      <c r="F18" s="500"/>
      <c r="G18" s="500"/>
      <c r="H18" s="501">
        <v>2025</v>
      </c>
      <c r="I18" s="502"/>
      <c r="J18" s="503"/>
      <c r="K18" s="504">
        <f>IF(ISNUMBER('Income Tax Proforma - Old Schem'!K18),'Income Tax Proforma - Old Schem'!K18,0)</f>
        <v>0</v>
      </c>
      <c r="L18" s="505"/>
      <c r="M18" s="505"/>
      <c r="N18" s="505"/>
      <c r="O18" s="505"/>
      <c r="P18" s="505"/>
      <c r="Q18" s="505"/>
      <c r="R18" s="504">
        <f>IF(ISNUMBER('Income Tax Proforma - Old Schem'!Q18),'Income Tax Proforma - Old Schem'!Q18,0)</f>
        <v>0</v>
      </c>
      <c r="S18" s="505"/>
      <c r="T18" s="505"/>
      <c r="U18" s="505"/>
      <c r="V18" s="505"/>
      <c r="W18" s="505"/>
      <c r="X18" s="506"/>
      <c r="Y18" s="504">
        <f>IF(ISNUMBER('Income Tax Proforma - Old Schem'!W18),'Income Tax Proforma - Old Schem'!W18,0)</f>
        <v>0</v>
      </c>
      <c r="Z18" s="505"/>
      <c r="AA18" s="505"/>
      <c r="AB18" s="505"/>
      <c r="AC18" s="505"/>
      <c r="AD18" s="505"/>
      <c r="AE18" s="505"/>
      <c r="AF18" s="507">
        <f t="shared" si="0"/>
        <v>0</v>
      </c>
      <c r="AG18" s="508"/>
      <c r="AH18" s="508"/>
      <c r="AI18" s="508"/>
      <c r="AJ18" s="508"/>
      <c r="AK18" s="508"/>
      <c r="AL18" s="509"/>
      <c r="BJ18" s="21"/>
      <c r="BQ18" s="171"/>
      <c r="BR18" s="171"/>
      <c r="BS18" s="171"/>
      <c r="BT18" s="171"/>
      <c r="BU18" s="171"/>
      <c r="BV18" s="171"/>
    </row>
    <row r="19" spans="2:74" ht="16.5" customHeight="1" x14ac:dyDescent="0.3">
      <c r="B19" s="233" t="s">
        <v>34</v>
      </c>
      <c r="C19" s="500"/>
      <c r="D19" s="500"/>
      <c r="E19" s="500"/>
      <c r="F19" s="500"/>
      <c r="G19" s="500"/>
      <c r="H19" s="501">
        <v>2025</v>
      </c>
      <c r="I19" s="502"/>
      <c r="J19" s="503"/>
      <c r="K19" s="504">
        <f>IF(ISNUMBER('Income Tax Proforma - Old Schem'!K19),'Income Tax Proforma - Old Schem'!K19,0)</f>
        <v>0</v>
      </c>
      <c r="L19" s="505"/>
      <c r="M19" s="505"/>
      <c r="N19" s="505"/>
      <c r="O19" s="505"/>
      <c r="P19" s="505"/>
      <c r="Q19" s="505"/>
      <c r="R19" s="504">
        <f>IF(ISNUMBER('Income Tax Proforma - Old Schem'!Q19),'Income Tax Proforma - Old Schem'!Q19,0)</f>
        <v>0</v>
      </c>
      <c r="S19" s="505"/>
      <c r="T19" s="505"/>
      <c r="U19" s="505"/>
      <c r="V19" s="505"/>
      <c r="W19" s="505"/>
      <c r="X19" s="506"/>
      <c r="Y19" s="504">
        <f>IF(ISNUMBER('Income Tax Proforma - Old Schem'!W19),'Income Tax Proforma - Old Schem'!W19,0)</f>
        <v>0</v>
      </c>
      <c r="Z19" s="505"/>
      <c r="AA19" s="505"/>
      <c r="AB19" s="505"/>
      <c r="AC19" s="505"/>
      <c r="AD19" s="505"/>
      <c r="AE19" s="505"/>
      <c r="AF19" s="507">
        <f t="shared" si="0"/>
        <v>0</v>
      </c>
      <c r="AG19" s="508"/>
      <c r="AH19" s="508"/>
      <c r="AI19" s="508"/>
      <c r="AJ19" s="508"/>
      <c r="AK19" s="508"/>
      <c r="AL19" s="509"/>
      <c r="BJ19" s="21"/>
      <c r="BQ19" s="115"/>
      <c r="BR19" s="115"/>
      <c r="BS19" s="115"/>
      <c r="BT19" s="115"/>
      <c r="BU19" s="115"/>
      <c r="BV19" s="115"/>
    </row>
    <row r="20" spans="2:74" ht="16.5" customHeight="1" x14ac:dyDescent="0.3">
      <c r="B20" s="233" t="s">
        <v>35</v>
      </c>
      <c r="C20" s="500"/>
      <c r="D20" s="500"/>
      <c r="E20" s="500"/>
      <c r="F20" s="500"/>
      <c r="G20" s="500"/>
      <c r="H20" s="501">
        <v>2025</v>
      </c>
      <c r="I20" s="502"/>
      <c r="J20" s="503"/>
      <c r="K20" s="504">
        <f>IF(ISNUMBER('Income Tax Proforma - Old Schem'!K20),'Income Tax Proforma - Old Schem'!K20,0)</f>
        <v>0</v>
      </c>
      <c r="L20" s="505"/>
      <c r="M20" s="505"/>
      <c r="N20" s="505"/>
      <c r="O20" s="505"/>
      <c r="P20" s="505"/>
      <c r="Q20" s="505"/>
      <c r="R20" s="504">
        <f>IF(ISNUMBER('Income Tax Proforma - Old Schem'!Q20),'Income Tax Proforma - Old Schem'!Q20,0)</f>
        <v>0</v>
      </c>
      <c r="S20" s="505"/>
      <c r="T20" s="505"/>
      <c r="U20" s="505"/>
      <c r="V20" s="505"/>
      <c r="W20" s="505"/>
      <c r="X20" s="506"/>
      <c r="Y20" s="504">
        <f>IF(ISNUMBER('Income Tax Proforma - Old Schem'!W20),'Income Tax Proforma - Old Schem'!W20,0)</f>
        <v>0</v>
      </c>
      <c r="Z20" s="505"/>
      <c r="AA20" s="505"/>
      <c r="AB20" s="505"/>
      <c r="AC20" s="505"/>
      <c r="AD20" s="505"/>
      <c r="AE20" s="505"/>
      <c r="AF20" s="507">
        <f t="shared" si="0"/>
        <v>0</v>
      </c>
      <c r="AG20" s="508"/>
      <c r="AH20" s="508"/>
      <c r="AI20" s="508"/>
      <c r="AJ20" s="508"/>
      <c r="AK20" s="508"/>
      <c r="AL20" s="509"/>
      <c r="BJ20" s="21"/>
    </row>
    <row r="21" spans="2:74" ht="16.5" customHeight="1" x14ac:dyDescent="0.3">
      <c r="B21" s="233" t="s">
        <v>27</v>
      </c>
      <c r="C21" s="500"/>
      <c r="D21" s="500"/>
      <c r="E21" s="500"/>
      <c r="F21" s="500"/>
      <c r="G21" s="500"/>
      <c r="H21" s="501">
        <v>2025</v>
      </c>
      <c r="I21" s="502"/>
      <c r="J21" s="503"/>
      <c r="K21" s="504">
        <f>IF(ISNUMBER('Income Tax Proforma - Old Schem'!K21),'Income Tax Proforma - Old Schem'!K21,0)</f>
        <v>0</v>
      </c>
      <c r="L21" s="505"/>
      <c r="M21" s="505"/>
      <c r="N21" s="505"/>
      <c r="O21" s="505"/>
      <c r="P21" s="505"/>
      <c r="Q21" s="505"/>
      <c r="R21" s="504">
        <f>IF(ISNUMBER('Income Tax Proforma - Old Schem'!Q21),'Income Tax Proforma - Old Schem'!Q21,0)</f>
        <v>0</v>
      </c>
      <c r="S21" s="505"/>
      <c r="T21" s="505"/>
      <c r="U21" s="505"/>
      <c r="V21" s="505"/>
      <c r="W21" s="505"/>
      <c r="X21" s="506"/>
      <c r="Y21" s="504">
        <f>IF(ISNUMBER('Income Tax Proforma - Old Schem'!W21),'Income Tax Proforma - Old Schem'!W21,0)</f>
        <v>0</v>
      </c>
      <c r="Z21" s="505"/>
      <c r="AA21" s="505"/>
      <c r="AB21" s="505"/>
      <c r="AC21" s="505"/>
      <c r="AD21" s="505"/>
      <c r="AE21" s="505"/>
      <c r="AF21" s="507">
        <f t="shared" si="0"/>
        <v>0</v>
      </c>
      <c r="AG21" s="508"/>
      <c r="AH21" s="508"/>
      <c r="AI21" s="508"/>
      <c r="AJ21" s="508"/>
      <c r="AK21" s="508"/>
      <c r="AL21" s="509"/>
      <c r="BJ21" s="21"/>
      <c r="BR21" s="66"/>
      <c r="BS21" s="67"/>
      <c r="BT21" s="67"/>
    </row>
    <row r="22" spans="2:74" ht="16.5" customHeight="1" x14ac:dyDescent="0.45">
      <c r="B22" s="233" t="s">
        <v>26</v>
      </c>
      <c r="C22" s="500"/>
      <c r="D22" s="500"/>
      <c r="E22" s="500"/>
      <c r="F22" s="500"/>
      <c r="G22" s="500"/>
      <c r="H22" s="501">
        <v>2026</v>
      </c>
      <c r="I22" s="502"/>
      <c r="J22" s="503"/>
      <c r="K22" s="504">
        <f>IF(ISNUMBER('Income Tax Proforma - Old Schem'!K22),'Income Tax Proforma - Old Schem'!K22,0)</f>
        <v>0</v>
      </c>
      <c r="L22" s="505"/>
      <c r="M22" s="505"/>
      <c r="N22" s="505"/>
      <c r="O22" s="505"/>
      <c r="P22" s="505"/>
      <c r="Q22" s="505"/>
      <c r="R22" s="504">
        <f>IF(ISNUMBER('Income Tax Proforma - Old Schem'!Q22),'Income Tax Proforma - Old Schem'!Q22,0)</f>
        <v>0</v>
      </c>
      <c r="S22" s="505"/>
      <c r="T22" s="505"/>
      <c r="U22" s="505"/>
      <c r="V22" s="505"/>
      <c r="W22" s="505"/>
      <c r="X22" s="506"/>
      <c r="Y22" s="504">
        <f>IF(ISNUMBER('Income Tax Proforma - Old Schem'!W22),'Income Tax Proforma - Old Schem'!W22,0)</f>
        <v>0</v>
      </c>
      <c r="Z22" s="505"/>
      <c r="AA22" s="505"/>
      <c r="AB22" s="505"/>
      <c r="AC22" s="505"/>
      <c r="AD22" s="505"/>
      <c r="AE22" s="505"/>
      <c r="AF22" s="507">
        <f t="shared" si="0"/>
        <v>0</v>
      </c>
      <c r="AG22" s="508"/>
      <c r="AH22" s="508"/>
      <c r="AI22" s="508"/>
      <c r="AJ22" s="508"/>
      <c r="AK22" s="508"/>
      <c r="AL22" s="509"/>
      <c r="BJ22" s="21"/>
      <c r="BR22" s="68"/>
      <c r="BS22" s="68"/>
      <c r="BT22" s="68"/>
    </row>
    <row r="23" spans="2:74" ht="16.5" customHeight="1" x14ac:dyDescent="0.3">
      <c r="B23" s="233" t="s">
        <v>25</v>
      </c>
      <c r="C23" s="500"/>
      <c r="D23" s="500"/>
      <c r="E23" s="500"/>
      <c r="F23" s="500"/>
      <c r="G23" s="500"/>
      <c r="H23" s="501">
        <v>2026</v>
      </c>
      <c r="I23" s="502"/>
      <c r="J23" s="503"/>
      <c r="K23" s="504">
        <f>IF(ISNUMBER('Income Tax Proforma - Old Schem'!K23),'Income Tax Proforma - Old Schem'!K23,0)</f>
        <v>0</v>
      </c>
      <c r="L23" s="505"/>
      <c r="M23" s="505"/>
      <c r="N23" s="505"/>
      <c r="O23" s="505"/>
      <c r="P23" s="505"/>
      <c r="Q23" s="505"/>
      <c r="R23" s="504">
        <f>IF(ISNUMBER('Income Tax Proforma - Old Schem'!Q23),'Income Tax Proforma - Old Schem'!Q23,0)</f>
        <v>0</v>
      </c>
      <c r="S23" s="505"/>
      <c r="T23" s="505"/>
      <c r="U23" s="505"/>
      <c r="V23" s="505"/>
      <c r="W23" s="505"/>
      <c r="X23" s="506"/>
      <c r="Y23" s="504">
        <f>IF(ISNUMBER('Income Tax Proforma - Old Schem'!W23),'Income Tax Proforma - Old Schem'!W23,0)</f>
        <v>0</v>
      </c>
      <c r="Z23" s="505"/>
      <c r="AA23" s="505"/>
      <c r="AB23" s="505"/>
      <c r="AC23" s="505"/>
      <c r="AD23" s="505"/>
      <c r="AE23" s="505"/>
      <c r="AF23" s="507">
        <f t="shared" si="0"/>
        <v>0</v>
      </c>
      <c r="AG23" s="508"/>
      <c r="AH23" s="508"/>
      <c r="AI23" s="508"/>
      <c r="AJ23" s="508"/>
      <c r="AK23" s="508"/>
      <c r="AL23" s="509"/>
      <c r="BJ23" s="21"/>
    </row>
    <row r="24" spans="2:74" ht="16.5" customHeight="1" x14ac:dyDescent="0.3">
      <c r="B24" s="301" t="s">
        <v>4</v>
      </c>
      <c r="C24" s="263"/>
      <c r="D24" s="263"/>
      <c r="E24" s="263"/>
      <c r="F24" s="263"/>
      <c r="G24" s="263"/>
      <c r="H24" s="263"/>
      <c r="I24" s="263"/>
      <c r="J24" s="278"/>
      <c r="K24" s="504">
        <f>SUM(K12:K23)</f>
        <v>0</v>
      </c>
      <c r="L24" s="505"/>
      <c r="M24" s="505"/>
      <c r="N24" s="505"/>
      <c r="O24" s="505"/>
      <c r="P24" s="505"/>
      <c r="Q24" s="505"/>
      <c r="R24" s="504">
        <f>SUM(R12:R23)</f>
        <v>0</v>
      </c>
      <c r="S24" s="505"/>
      <c r="T24" s="505"/>
      <c r="U24" s="505"/>
      <c r="V24" s="505"/>
      <c r="W24" s="505"/>
      <c r="X24" s="506"/>
      <c r="Y24" s="504">
        <f>SUM(Y12:Y23)</f>
        <v>0</v>
      </c>
      <c r="Z24" s="505"/>
      <c r="AA24" s="505"/>
      <c r="AB24" s="505"/>
      <c r="AC24" s="505"/>
      <c r="AD24" s="505"/>
      <c r="AE24" s="505"/>
      <c r="AF24" s="242">
        <f>SUM(AF12:AF23)</f>
        <v>0</v>
      </c>
      <c r="AG24" s="521"/>
      <c r="AH24" s="521"/>
      <c r="AI24" s="521"/>
      <c r="AJ24" s="521"/>
      <c r="AK24" s="521"/>
      <c r="AL24" s="522"/>
      <c r="BJ24" s="21"/>
      <c r="BQ24" s="83"/>
      <c r="BR24" s="83"/>
      <c r="BS24" s="83"/>
      <c r="BT24" s="83"/>
      <c r="BU24" s="83"/>
      <c r="BV24" s="83"/>
    </row>
    <row r="25" spans="2:74" ht="8.1" customHeight="1" x14ac:dyDescent="0.3">
      <c r="B25" s="20"/>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J25" s="23"/>
      <c r="BQ25" s="83"/>
      <c r="BR25" s="83"/>
      <c r="BS25" s="83"/>
      <c r="BT25" s="83"/>
      <c r="BU25" s="83"/>
      <c r="BV25" s="83"/>
    </row>
    <row r="26" spans="2:74" s="12" customFormat="1" ht="18" customHeight="1" x14ac:dyDescent="0.25">
      <c r="B26" s="77"/>
      <c r="C26" s="251" t="s">
        <v>130</v>
      </c>
      <c r="D26" s="252"/>
      <c r="E26" s="252"/>
      <c r="F26" s="252"/>
      <c r="G26" s="252"/>
      <c r="H26" s="252"/>
      <c r="I26" s="252"/>
      <c r="J26" s="252"/>
      <c r="K26" s="252"/>
      <c r="L26" s="252"/>
      <c r="M26" s="252"/>
      <c r="N26" s="252"/>
      <c r="O26" s="252"/>
      <c r="P26" s="252"/>
      <c r="Q26" s="252"/>
      <c r="R26" s="252"/>
      <c r="S26" s="252"/>
      <c r="T26" s="252"/>
      <c r="U26" s="76" t="s">
        <v>5</v>
      </c>
      <c r="V26" s="200">
        <f>IF(ISNUMBER('Income Tax Proforma - Old Schem'!V26),'Income Tax Proforma - Old Schem'!V26,0)</f>
        <v>0</v>
      </c>
      <c r="W26" s="262"/>
      <c r="X26" s="262"/>
      <c r="Y26" s="262"/>
      <c r="Z26" s="262"/>
      <c r="AA26" s="262"/>
      <c r="AB26" s="262"/>
      <c r="AC26" s="262"/>
      <c r="AD26" s="262"/>
      <c r="AE26" s="262"/>
      <c r="AF26" s="187"/>
      <c r="AG26" s="250"/>
      <c r="AH26" s="251" t="s">
        <v>19</v>
      </c>
      <c r="AI26" s="252"/>
      <c r="AJ26" s="252"/>
      <c r="AK26" s="252"/>
      <c r="AL26" s="252"/>
      <c r="AM26" s="252"/>
      <c r="AN26" s="252"/>
      <c r="AO26" s="252"/>
      <c r="AP26" s="252"/>
      <c r="AQ26" s="252"/>
      <c r="AR26" s="252"/>
      <c r="AS26" s="252"/>
      <c r="AT26" s="252"/>
      <c r="AU26" s="252"/>
      <c r="AV26" s="252"/>
      <c r="AW26" s="252"/>
      <c r="AX26" s="252"/>
      <c r="AY26" s="252"/>
      <c r="AZ26" s="76" t="s">
        <v>5</v>
      </c>
      <c r="BA26" s="200">
        <f>IF(ISNUMBER('Income Tax Proforma - Old Schem'!BA26),'Income Tax Proforma - Old Schem'!BA26,0)</f>
        <v>0</v>
      </c>
      <c r="BB26" s="262"/>
      <c r="BC26" s="262"/>
      <c r="BD26" s="262"/>
      <c r="BE26" s="262"/>
      <c r="BF26" s="262"/>
      <c r="BG26" s="262"/>
      <c r="BH26" s="262"/>
      <c r="BI26" s="262"/>
      <c r="BJ26" s="262"/>
      <c r="BQ26" s="83"/>
      <c r="BR26" s="83"/>
      <c r="BS26" s="83"/>
      <c r="BT26" s="83"/>
      <c r="BU26" s="83"/>
      <c r="BV26" s="83"/>
    </row>
    <row r="27" spans="2:74" ht="8.1" customHeight="1" x14ac:dyDescent="0.3">
      <c r="B27" s="20"/>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J27" s="23"/>
      <c r="BQ27" s="83"/>
      <c r="BR27" s="83"/>
      <c r="BS27" s="83"/>
      <c r="BT27" s="83"/>
      <c r="BU27" s="83"/>
      <c r="BV27" s="83"/>
    </row>
    <row r="28" spans="2:74" s="12" customFormat="1" ht="18" customHeight="1" x14ac:dyDescent="0.25">
      <c r="B28" s="77"/>
      <c r="C28" s="251" t="s">
        <v>129</v>
      </c>
      <c r="D28" s="252"/>
      <c r="E28" s="252"/>
      <c r="F28" s="252"/>
      <c r="G28" s="252"/>
      <c r="H28" s="252"/>
      <c r="I28" s="252"/>
      <c r="J28" s="252"/>
      <c r="K28" s="252"/>
      <c r="L28" s="252"/>
      <c r="M28" s="252"/>
      <c r="N28" s="252"/>
      <c r="O28" s="252"/>
      <c r="P28" s="252"/>
      <c r="Q28" s="252"/>
      <c r="R28" s="252"/>
      <c r="S28" s="252"/>
      <c r="T28" s="252"/>
      <c r="U28" s="76" t="s">
        <v>5</v>
      </c>
      <c r="V28" s="200">
        <f>IF(ISNUMBER('Income Tax Proforma - Old Schem'!V28),'Income Tax Proforma - Old Schem'!V28,0)</f>
        <v>0</v>
      </c>
      <c r="W28" s="262"/>
      <c r="X28" s="262"/>
      <c r="Y28" s="262"/>
      <c r="Z28" s="262"/>
      <c r="AA28" s="262"/>
      <c r="AB28" s="262"/>
      <c r="AC28" s="262"/>
      <c r="AD28" s="262"/>
      <c r="AE28" s="262"/>
      <c r="AF28" s="187"/>
      <c r="AG28" s="250"/>
      <c r="AH28" s="299" t="str">
        <f>IF('Basic Information'!AN10="NPS","Employer's Contribution to NPS u/s 17.(viii)","")</f>
        <v/>
      </c>
      <c r="AI28" s="300"/>
      <c r="AJ28" s="300"/>
      <c r="AK28" s="300"/>
      <c r="AL28" s="300"/>
      <c r="AM28" s="300"/>
      <c r="AN28" s="300"/>
      <c r="AO28" s="300"/>
      <c r="AP28" s="300"/>
      <c r="AQ28" s="300"/>
      <c r="AR28" s="300"/>
      <c r="AS28" s="300"/>
      <c r="AT28" s="300"/>
      <c r="AU28" s="300"/>
      <c r="AV28" s="300"/>
      <c r="AW28" s="300"/>
      <c r="AX28" s="300"/>
      <c r="AY28" s="300"/>
      <c r="AZ28" s="76" t="str">
        <f>IF('Basic Information'!AN10="NPS",":","")</f>
        <v/>
      </c>
      <c r="BA28" s="200" t="str">
        <f>IF(AND('Basic Information'!AN10="NPS",ISNUMBER('Income Tax Proforma - Old Schem'!BA28)),'Income Tax Proforma - Old Schem'!BA28,"")</f>
        <v/>
      </c>
      <c r="BB28" s="262"/>
      <c r="BC28" s="262"/>
      <c r="BD28" s="262"/>
      <c r="BE28" s="262"/>
      <c r="BF28" s="262"/>
      <c r="BG28" s="262"/>
      <c r="BH28" s="262"/>
      <c r="BI28" s="262"/>
      <c r="BJ28" s="262"/>
      <c r="BQ28" s="83"/>
      <c r="BR28" s="83"/>
      <c r="BS28" s="83"/>
      <c r="BT28" s="83"/>
      <c r="BU28" s="83"/>
      <c r="BV28" s="83"/>
    </row>
    <row r="29" spans="2:74" ht="8.1" customHeight="1" x14ac:dyDescent="0.3">
      <c r="B29" s="20"/>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J29" s="21"/>
      <c r="BQ29" s="83"/>
      <c r="BR29" s="83"/>
      <c r="BS29" s="83"/>
      <c r="BT29" s="83"/>
      <c r="BU29" s="83"/>
      <c r="BV29" s="83"/>
    </row>
    <row r="30" spans="2:74" s="12" customFormat="1" ht="18" customHeight="1" x14ac:dyDescent="0.25">
      <c r="B30" s="77"/>
      <c r="C30" s="251" t="s">
        <v>139</v>
      </c>
      <c r="D30" s="252"/>
      <c r="E30" s="252"/>
      <c r="F30" s="252"/>
      <c r="G30" s="252"/>
      <c r="H30" s="252"/>
      <c r="I30" s="252"/>
      <c r="J30" s="252"/>
      <c r="K30" s="252"/>
      <c r="L30" s="252"/>
      <c r="M30" s="252"/>
      <c r="N30" s="252"/>
      <c r="O30" s="252"/>
      <c r="P30" s="252"/>
      <c r="Q30" s="252"/>
      <c r="R30" s="252"/>
      <c r="S30" s="252"/>
      <c r="T30" s="252"/>
      <c r="U30" s="81" t="s">
        <v>5</v>
      </c>
      <c r="V30" s="200">
        <f>IF(ISNUMBER('Income Tax Proforma - Old Schem'!V30),'Income Tax Proforma - Old Schem'!V30,0)</f>
        <v>0</v>
      </c>
      <c r="W30" s="262"/>
      <c r="X30" s="262"/>
      <c r="Y30" s="262"/>
      <c r="Z30" s="262"/>
      <c r="AA30" s="262"/>
      <c r="AB30" s="262"/>
      <c r="AC30" s="262"/>
      <c r="AD30" s="262"/>
      <c r="AE30" s="262"/>
      <c r="AF30" s="29"/>
      <c r="AG30" s="87"/>
      <c r="AH30" s="245" t="str">
        <f>IF('Basic Information'!AN10="NPS","NPS Arrear - Employer's Contribution to NPS","")</f>
        <v/>
      </c>
      <c r="AI30" s="246"/>
      <c r="AJ30" s="246"/>
      <c r="AK30" s="246"/>
      <c r="AL30" s="246"/>
      <c r="AM30" s="246"/>
      <c r="AN30" s="246"/>
      <c r="AO30" s="246"/>
      <c r="AP30" s="246"/>
      <c r="AQ30" s="246"/>
      <c r="AR30" s="246"/>
      <c r="AS30" s="246"/>
      <c r="AT30" s="246"/>
      <c r="AU30" s="246"/>
      <c r="AV30" s="246"/>
      <c r="AW30" s="246"/>
      <c r="AX30" s="246"/>
      <c r="AY30" s="246"/>
      <c r="AZ30" s="76" t="str">
        <f>IF('Basic Information'!AN10="NPS",":","")</f>
        <v/>
      </c>
      <c r="BA30" s="200" t="str">
        <f>IF(AND('Basic Information'!AN10="NPS",ISNUMBER('Income Tax Proforma - Old Schem'!BA30)),'Income Tax Proforma - Old Schem'!BA30,"")</f>
        <v/>
      </c>
      <c r="BB30" s="262"/>
      <c r="BC30" s="262"/>
      <c r="BD30" s="262"/>
      <c r="BE30" s="262"/>
      <c r="BF30" s="262"/>
      <c r="BG30" s="262"/>
      <c r="BH30" s="262"/>
      <c r="BI30" s="262"/>
      <c r="BJ30" s="262"/>
      <c r="BQ30" s="83"/>
      <c r="BR30" s="83"/>
      <c r="BS30" s="83"/>
      <c r="BT30" s="83"/>
      <c r="BU30" s="83"/>
      <c r="BV30" s="83"/>
    </row>
    <row r="31" spans="2:74" ht="8.1" customHeight="1" x14ac:dyDescent="0.3">
      <c r="B31" s="22"/>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8"/>
      <c r="BG31" s="18"/>
      <c r="BH31" s="18"/>
      <c r="BI31" s="18"/>
      <c r="BJ31" s="23"/>
      <c r="BQ31" s="83"/>
      <c r="BR31" s="83"/>
      <c r="BS31" s="83"/>
      <c r="BT31" s="83"/>
      <c r="BU31" s="83"/>
      <c r="BV31" s="83"/>
    </row>
    <row r="32" spans="2:74" ht="18" x14ac:dyDescent="0.3">
      <c r="B32" s="135" t="s">
        <v>230</v>
      </c>
      <c r="C32" s="136"/>
      <c r="D32" s="136"/>
      <c r="E32" s="136"/>
      <c r="F32" s="136"/>
      <c r="G32" s="136"/>
      <c r="H32" s="136"/>
      <c r="I32" s="136"/>
      <c r="J32" s="136"/>
      <c r="K32" s="136"/>
      <c r="L32" s="136"/>
      <c r="M32" s="136"/>
      <c r="N32" s="136"/>
      <c r="O32" s="136"/>
      <c r="P32" s="136"/>
      <c r="Q32" s="136"/>
      <c r="R32" s="136"/>
      <c r="S32" s="136"/>
      <c r="T32" s="136"/>
      <c r="U32" s="137"/>
      <c r="V32" s="134"/>
      <c r="W32" s="134"/>
      <c r="X32" s="134"/>
      <c r="Y32" s="134"/>
      <c r="Z32" s="134"/>
      <c r="AA32" s="134"/>
      <c r="AB32" s="134"/>
      <c r="AC32" s="134"/>
      <c r="AD32" s="134"/>
      <c r="AE32" s="134"/>
      <c r="AF32" s="134"/>
      <c r="AG32" s="134"/>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6"/>
      <c r="BG32" s="16"/>
      <c r="BH32" s="16"/>
      <c r="BI32" s="16"/>
      <c r="BJ32" s="28"/>
      <c r="BQ32" s="83"/>
      <c r="BR32" s="83"/>
      <c r="BS32" s="83"/>
      <c r="BT32" s="83"/>
      <c r="BU32" s="83"/>
      <c r="BV32" s="83"/>
    </row>
    <row r="33" spans="2:74" ht="5.0999999999999996" customHeight="1" x14ac:dyDescent="0.3">
      <c r="B33" s="20"/>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J33" s="21"/>
    </row>
    <row r="34" spans="2:74" ht="18" customHeight="1" x14ac:dyDescent="0.3">
      <c r="B34" s="22"/>
      <c r="C34" s="285" t="s">
        <v>83</v>
      </c>
      <c r="D34" s="287"/>
      <c r="E34" s="287"/>
      <c r="F34" s="287"/>
      <c r="G34" s="287"/>
      <c r="H34" s="287"/>
      <c r="I34" s="287"/>
      <c r="J34" s="287"/>
      <c r="K34" s="287"/>
      <c r="L34" s="523"/>
      <c r="M34" s="76" t="s">
        <v>5</v>
      </c>
      <c r="N34" s="193">
        <f>IF(ISNUMBER('Income Tax Proforma - Old Schem'!N34),'Income Tax Proforma - Old Schem'!N34,0)</f>
        <v>0</v>
      </c>
      <c r="O34" s="194"/>
      <c r="P34" s="194"/>
      <c r="Q34" s="194"/>
      <c r="R34" s="194"/>
      <c r="S34" s="194"/>
      <c r="T34" s="194"/>
      <c r="U34" s="195"/>
      <c r="V34" s="17"/>
      <c r="W34" s="214" t="s">
        <v>140</v>
      </c>
      <c r="X34" s="288"/>
      <c r="Y34" s="288"/>
      <c r="Z34" s="288"/>
      <c r="AA34" s="288"/>
      <c r="AB34" s="288"/>
      <c r="AC34" s="288"/>
      <c r="AD34" s="288"/>
      <c r="AE34" s="288"/>
      <c r="AF34" s="216"/>
      <c r="AG34" s="76" t="s">
        <v>5</v>
      </c>
      <c r="AH34" s="193">
        <f>IF(ISNUMBER('Income Tax Proforma - Old Schem'!AH34),'Income Tax Proforma - Old Schem'!AH34,0)</f>
        <v>0</v>
      </c>
      <c r="AI34" s="194"/>
      <c r="AJ34" s="194"/>
      <c r="AK34" s="194"/>
      <c r="AL34" s="194"/>
      <c r="AM34" s="194"/>
      <c r="AN34" s="194"/>
      <c r="AO34" s="195"/>
      <c r="AP34" s="18"/>
      <c r="AQ34" s="214" t="s">
        <v>141</v>
      </c>
      <c r="AR34" s="288"/>
      <c r="AS34" s="288"/>
      <c r="AT34" s="288"/>
      <c r="AU34" s="288"/>
      <c r="AV34" s="288"/>
      <c r="AW34" s="288"/>
      <c r="AX34" s="288"/>
      <c r="AY34" s="288"/>
      <c r="AZ34" s="288"/>
      <c r="BA34" s="296"/>
      <c r="BB34" s="76" t="s">
        <v>5</v>
      </c>
      <c r="BC34" s="193">
        <f>IF(ISNUMBER('Income Tax Proforma - Old Schem'!BC34),'Income Tax Proforma - Old Schem'!BC34,0)</f>
        <v>0</v>
      </c>
      <c r="BD34" s="194"/>
      <c r="BE34" s="194"/>
      <c r="BF34" s="194"/>
      <c r="BG34" s="194"/>
      <c r="BH34" s="194"/>
      <c r="BI34" s="194"/>
      <c r="BJ34" s="195"/>
      <c r="BQ34" s="83"/>
      <c r="BR34" s="84"/>
      <c r="BS34" s="84"/>
      <c r="BT34" s="84"/>
      <c r="BU34" s="84"/>
      <c r="BV34" s="84"/>
    </row>
    <row r="35" spans="2:74" ht="8.1" customHeight="1" x14ac:dyDescent="0.3">
      <c r="B35" s="20"/>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J35" s="21"/>
      <c r="BQ35" s="82"/>
      <c r="BR35" s="82"/>
      <c r="BS35" s="82"/>
      <c r="BT35" s="82"/>
      <c r="BU35" s="82"/>
      <c r="BV35" s="82"/>
    </row>
    <row r="36" spans="2:74" s="12" customFormat="1" ht="19.95" customHeight="1" x14ac:dyDescent="0.25">
      <c r="B36" s="192" t="s">
        <v>232</v>
      </c>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4"/>
      <c r="AU36" s="76" t="s">
        <v>5</v>
      </c>
      <c r="AV36" s="193">
        <f>IF('Basic Information'!AN10="NPS",SUM(AF24,V26,BA26,V28,BA28,V30,BA30,N34,AH34,BC34),SUM(AF24,V26,BA26,V28,V30,N34,AH34,BC34))</f>
        <v>0</v>
      </c>
      <c r="AW36" s="194"/>
      <c r="AX36" s="194"/>
      <c r="AY36" s="194"/>
      <c r="AZ36" s="194"/>
      <c r="BA36" s="194"/>
      <c r="BB36" s="194"/>
      <c r="BC36" s="194"/>
      <c r="BD36" s="194"/>
      <c r="BE36" s="194"/>
      <c r="BF36" s="194"/>
      <c r="BG36" s="194"/>
      <c r="BH36" s="194"/>
      <c r="BI36" s="194"/>
      <c r="BJ36" s="195"/>
    </row>
    <row r="37" spans="2:74" ht="8.1" customHeight="1" x14ac:dyDescent="0.3">
      <c r="B37" s="20"/>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J37" s="21"/>
      <c r="BQ37" s="82"/>
      <c r="BR37" s="82"/>
      <c r="BS37" s="82"/>
      <c r="BT37" s="82"/>
      <c r="BU37" s="82"/>
      <c r="BV37" s="82"/>
    </row>
    <row r="38" spans="2:74" s="12" customFormat="1" ht="18" customHeight="1" x14ac:dyDescent="0.25">
      <c r="B38" s="192" t="s">
        <v>163</v>
      </c>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9"/>
      <c r="AV38" s="19"/>
      <c r="AW38" s="19"/>
      <c r="AX38" s="19"/>
      <c r="AY38" s="19"/>
      <c r="AZ38" s="19"/>
      <c r="BA38" s="19"/>
      <c r="BB38" s="19"/>
      <c r="BC38" s="19"/>
      <c r="BD38" s="19"/>
      <c r="BE38" s="19"/>
      <c r="BF38" s="19"/>
      <c r="BG38" s="19"/>
      <c r="BH38" s="19"/>
      <c r="BI38" s="19"/>
      <c r="BJ38" s="43"/>
    </row>
    <row r="39" spans="2:74" ht="8.1" customHeight="1" x14ac:dyDescent="0.3">
      <c r="B39" s="20"/>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J39" s="21"/>
      <c r="BQ39" s="82"/>
      <c r="BR39" s="82"/>
      <c r="BS39" s="82"/>
      <c r="BT39" s="82"/>
      <c r="BU39" s="82"/>
      <c r="BV39" s="82"/>
    </row>
    <row r="40" spans="2:74" s="12" customFormat="1" ht="18" customHeight="1" x14ac:dyDescent="0.25">
      <c r="B40" s="54"/>
      <c r="C40" s="201" t="s">
        <v>213</v>
      </c>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76" t="s">
        <v>5</v>
      </c>
      <c r="AV40" s="200">
        <f>IF(AV36&lt;75000,AV36,75000)</f>
        <v>0</v>
      </c>
      <c r="AW40" s="200"/>
      <c r="AX40" s="200"/>
      <c r="AY40" s="200"/>
      <c r="AZ40" s="200"/>
      <c r="BA40" s="200"/>
      <c r="BB40" s="200"/>
      <c r="BC40" s="200"/>
      <c r="BD40" s="200"/>
      <c r="BE40" s="200"/>
      <c r="BF40" s="200"/>
      <c r="BG40" s="200"/>
      <c r="BH40" s="200"/>
      <c r="BI40" s="200"/>
      <c r="BJ40" s="200"/>
    </row>
    <row r="41" spans="2:74" ht="8.1" customHeight="1" x14ac:dyDescent="0.3">
      <c r="B41" s="20"/>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J41" s="21"/>
      <c r="BQ41" s="82"/>
      <c r="BR41" s="82"/>
      <c r="BS41" s="82"/>
      <c r="BT41" s="82"/>
      <c r="BU41" s="82"/>
      <c r="BV41" s="82"/>
    </row>
    <row r="42" spans="2:74" ht="18" customHeight="1" x14ac:dyDescent="0.3">
      <c r="B42" s="192" t="s">
        <v>167</v>
      </c>
      <c r="C42" s="295"/>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c r="AK42" s="295"/>
      <c r="AL42" s="295"/>
      <c r="AM42" s="295"/>
      <c r="AN42" s="295"/>
      <c r="AO42" s="295"/>
      <c r="AP42" s="295"/>
      <c r="AQ42" s="295"/>
      <c r="AR42" s="295"/>
      <c r="AS42" s="295"/>
      <c r="AT42" s="296"/>
      <c r="AU42" s="76" t="s">
        <v>5</v>
      </c>
      <c r="AV42" s="193">
        <f>AV36-AV40</f>
        <v>0</v>
      </c>
      <c r="AW42" s="524"/>
      <c r="AX42" s="524"/>
      <c r="AY42" s="524"/>
      <c r="AZ42" s="524"/>
      <c r="BA42" s="524"/>
      <c r="BB42" s="524"/>
      <c r="BC42" s="524"/>
      <c r="BD42" s="524"/>
      <c r="BE42" s="524"/>
      <c r="BF42" s="524"/>
      <c r="BG42" s="524"/>
      <c r="BH42" s="524"/>
      <c r="BI42" s="524"/>
      <c r="BJ42" s="525"/>
      <c r="BQ42" s="82"/>
      <c r="BR42" s="82"/>
      <c r="BS42" s="82"/>
      <c r="BT42" s="82"/>
      <c r="BU42" s="82"/>
      <c r="BV42" s="82"/>
    </row>
    <row r="43" spans="2:74" ht="8.1" customHeight="1" x14ac:dyDescent="0.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row>
    <row r="44" spans="2:74" ht="18" customHeight="1" x14ac:dyDescent="0.3">
      <c r="B44" s="133" t="s">
        <v>217</v>
      </c>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5"/>
      <c r="AV44" s="15"/>
      <c r="AW44" s="15"/>
      <c r="AX44" s="15"/>
      <c r="AY44" s="15"/>
      <c r="AZ44" s="15"/>
      <c r="BA44" s="15"/>
      <c r="BB44" s="15"/>
      <c r="BC44" s="15"/>
      <c r="BD44" s="15"/>
      <c r="BE44" s="15"/>
      <c r="BF44" s="16"/>
      <c r="BG44" s="16"/>
      <c r="BH44" s="16"/>
      <c r="BI44" s="16"/>
      <c r="BJ44" s="28"/>
    </row>
    <row r="45" spans="2:74" ht="8.1" customHeight="1" x14ac:dyDescent="0.3">
      <c r="B45" s="20"/>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J45" s="21"/>
    </row>
    <row r="46" spans="2:74" ht="18" customHeight="1" x14ac:dyDescent="0.3">
      <c r="B46" s="20"/>
      <c r="C46" s="201" t="s">
        <v>116</v>
      </c>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76" t="s">
        <v>5</v>
      </c>
      <c r="AV46" s="200">
        <f>IF(ISNUMBER('Income Tax Proforma - Old Schem'!AV64),'Income Tax Proforma - Old Schem'!AV64,0)</f>
        <v>0</v>
      </c>
      <c r="AW46" s="262"/>
      <c r="AX46" s="262"/>
      <c r="AY46" s="262"/>
      <c r="AZ46" s="262"/>
      <c r="BA46" s="262"/>
      <c r="BB46" s="262"/>
      <c r="BC46" s="262"/>
      <c r="BD46" s="262"/>
      <c r="BE46" s="262"/>
      <c r="BF46" s="262"/>
      <c r="BG46" s="262"/>
      <c r="BH46" s="262"/>
      <c r="BI46" s="262"/>
      <c r="BJ46" s="262"/>
    </row>
    <row r="47" spans="2:74" ht="8.1" customHeight="1" x14ac:dyDescent="0.3">
      <c r="B47" s="20"/>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J47" s="21"/>
    </row>
    <row r="48" spans="2:74" ht="18" customHeight="1" x14ac:dyDescent="0.3">
      <c r="B48" s="20"/>
      <c r="C48" s="201" t="s">
        <v>170</v>
      </c>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76" t="s">
        <v>5</v>
      </c>
      <c r="AV48" s="200">
        <f>IF(ISNUMBER('Income Tax Proforma - Old Schem'!AV66),'Income Tax Proforma - Old Schem'!AV66,0)</f>
        <v>0</v>
      </c>
      <c r="AW48" s="262"/>
      <c r="AX48" s="262"/>
      <c r="AY48" s="262"/>
      <c r="AZ48" s="262"/>
      <c r="BA48" s="262"/>
      <c r="BB48" s="262"/>
      <c r="BC48" s="262"/>
      <c r="BD48" s="262"/>
      <c r="BE48" s="262"/>
      <c r="BF48" s="262"/>
      <c r="BG48" s="262"/>
      <c r="BH48" s="262"/>
      <c r="BI48" s="262"/>
      <c r="BJ48" s="262"/>
    </row>
    <row r="49" spans="2:75" ht="8.1" customHeight="1" x14ac:dyDescent="0.3">
      <c r="B49" s="20"/>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J49" s="21"/>
    </row>
    <row r="50" spans="2:75" ht="18" customHeight="1" x14ac:dyDescent="0.3">
      <c r="B50" s="20"/>
      <c r="C50" s="201" t="s">
        <v>85</v>
      </c>
      <c r="D50" s="252"/>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2"/>
      <c r="AJ50" s="252"/>
      <c r="AK50" s="252"/>
      <c r="AL50" s="252"/>
      <c r="AM50" s="252"/>
      <c r="AN50" s="252"/>
      <c r="AO50" s="252"/>
      <c r="AP50" s="252"/>
      <c r="AQ50" s="252"/>
      <c r="AR50" s="252"/>
      <c r="AS50" s="252"/>
      <c r="AT50" s="252"/>
      <c r="AU50" s="76" t="s">
        <v>5</v>
      </c>
      <c r="AV50" s="200">
        <f>IF(ISNUMBER('Income Tax Proforma - Old Schem'!AV68),'Income Tax Proforma - Old Schem'!AV68,0)</f>
        <v>0</v>
      </c>
      <c r="AW50" s="262"/>
      <c r="AX50" s="262"/>
      <c r="AY50" s="262"/>
      <c r="AZ50" s="262"/>
      <c r="BA50" s="262"/>
      <c r="BB50" s="262"/>
      <c r="BC50" s="262"/>
      <c r="BD50" s="262"/>
      <c r="BE50" s="262"/>
      <c r="BF50" s="262"/>
      <c r="BG50" s="262"/>
      <c r="BH50" s="262"/>
      <c r="BI50" s="262"/>
      <c r="BJ50" s="262"/>
    </row>
    <row r="51" spans="2:75" ht="8.1" customHeight="1" x14ac:dyDescent="0.3">
      <c r="B51" s="20"/>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J51" s="21"/>
    </row>
    <row r="52" spans="2:75" ht="18" customHeight="1" x14ac:dyDescent="0.3">
      <c r="B52" s="22"/>
      <c r="C52" s="201" t="s">
        <v>86</v>
      </c>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J52" s="252"/>
      <c r="AK52" s="252"/>
      <c r="AL52" s="252"/>
      <c r="AM52" s="252"/>
      <c r="AN52" s="252"/>
      <c r="AO52" s="252"/>
      <c r="AP52" s="252"/>
      <c r="AQ52" s="252"/>
      <c r="AR52" s="252"/>
      <c r="AS52" s="252"/>
      <c r="AT52" s="252"/>
      <c r="AU52" s="76" t="s">
        <v>5</v>
      </c>
      <c r="AV52" s="200">
        <f>IF(ISNUMBER('Income Tax Proforma - Old Schem'!AV70),'Income Tax Proforma - Old Schem'!AV70,0)</f>
        <v>0</v>
      </c>
      <c r="AW52" s="262"/>
      <c r="AX52" s="262"/>
      <c r="AY52" s="262"/>
      <c r="AZ52" s="262"/>
      <c r="BA52" s="262"/>
      <c r="BB52" s="262"/>
      <c r="BC52" s="262"/>
      <c r="BD52" s="262"/>
      <c r="BE52" s="262"/>
      <c r="BF52" s="262"/>
      <c r="BG52" s="262"/>
      <c r="BH52" s="262"/>
      <c r="BI52" s="262"/>
      <c r="BJ52" s="262"/>
    </row>
    <row r="53" spans="2:75" ht="8.1" customHeight="1" x14ac:dyDescent="0.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row>
    <row r="54" spans="2:75" ht="20.100000000000001" customHeight="1" x14ac:dyDescent="0.3">
      <c r="B54" s="254" t="s">
        <v>218</v>
      </c>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c r="AE54" s="252"/>
      <c r="AF54" s="252"/>
      <c r="AG54" s="252"/>
      <c r="AH54" s="252"/>
      <c r="AI54" s="252"/>
      <c r="AJ54" s="252"/>
      <c r="AK54" s="252"/>
      <c r="AL54" s="252"/>
      <c r="AM54" s="252"/>
      <c r="AN54" s="252"/>
      <c r="AO54" s="252"/>
      <c r="AP54" s="252"/>
      <c r="AQ54" s="252"/>
      <c r="AR54" s="252"/>
      <c r="AS54" s="252"/>
      <c r="AT54" s="252"/>
      <c r="AU54" s="76" t="s">
        <v>5</v>
      </c>
      <c r="AV54" s="200">
        <f>SUM(AV42,AV46,AV48,AV50,AV52)</f>
        <v>0</v>
      </c>
      <c r="AW54" s="262"/>
      <c r="AX54" s="262"/>
      <c r="AY54" s="262"/>
      <c r="AZ54" s="262"/>
      <c r="BA54" s="262"/>
      <c r="BB54" s="262"/>
      <c r="BC54" s="262"/>
      <c r="BD54" s="262"/>
      <c r="BE54" s="262"/>
      <c r="BF54" s="262"/>
      <c r="BG54" s="262"/>
      <c r="BH54" s="262"/>
      <c r="BI54" s="262"/>
      <c r="BJ54" s="262"/>
    </row>
    <row r="55" spans="2:75" ht="8.1" customHeight="1" x14ac:dyDescent="0.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row>
    <row r="56" spans="2:75" ht="30" customHeight="1" x14ac:dyDescent="0.3">
      <c r="B56" s="526" t="s">
        <v>219</v>
      </c>
      <c r="C56" s="527"/>
      <c r="D56" s="527"/>
      <c r="E56" s="527"/>
      <c r="F56" s="527"/>
      <c r="G56" s="527"/>
      <c r="H56" s="527"/>
      <c r="I56" s="527"/>
      <c r="J56" s="527"/>
      <c r="K56" s="527"/>
      <c r="L56" s="527"/>
      <c r="M56" s="527"/>
      <c r="N56" s="527"/>
      <c r="O56" s="527"/>
      <c r="P56" s="527"/>
      <c r="Q56" s="527"/>
      <c r="R56" s="527"/>
      <c r="S56" s="527"/>
      <c r="T56" s="527"/>
      <c r="U56" s="527"/>
      <c r="V56" s="527"/>
      <c r="W56" s="527"/>
      <c r="X56" s="527"/>
      <c r="Y56" s="527"/>
      <c r="Z56" s="527"/>
      <c r="AA56" s="527"/>
      <c r="AB56" s="527"/>
      <c r="AC56" s="527"/>
      <c r="AD56" s="527"/>
      <c r="AE56" s="527"/>
      <c r="AF56" s="527"/>
      <c r="AG56" s="527"/>
      <c r="AH56" s="527"/>
      <c r="AI56" s="527"/>
      <c r="AJ56" s="198" t="s">
        <v>87</v>
      </c>
      <c r="AK56" s="349"/>
      <c r="AL56" s="349"/>
      <c r="AM56" s="349"/>
      <c r="AN56" s="349"/>
      <c r="AO56" s="349"/>
      <c r="AP56" s="349"/>
      <c r="AQ56" s="349"/>
      <c r="AR56" s="349"/>
      <c r="AS56" s="349"/>
      <c r="AT56" s="349"/>
      <c r="AU56" s="349"/>
      <c r="AV56" s="198" t="s">
        <v>88</v>
      </c>
      <c r="AW56" s="349"/>
      <c r="AX56" s="349"/>
      <c r="AY56" s="349"/>
      <c r="AZ56" s="349"/>
      <c r="BA56" s="349"/>
      <c r="BB56" s="349"/>
      <c r="BC56" s="349"/>
      <c r="BD56" s="349"/>
      <c r="BE56" s="349"/>
      <c r="BF56" s="349"/>
      <c r="BG56" s="349"/>
      <c r="BH56" s="349"/>
      <c r="BI56" s="349"/>
      <c r="BJ56" s="349"/>
    </row>
    <row r="57" spans="2:75" ht="8.1" customHeight="1" x14ac:dyDescent="0.3">
      <c r="B57" s="20"/>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J57" s="21"/>
      <c r="BL57" s="132" t="str">
        <f>IF(AND(AV58&lt;&gt;0,AJ58&gt;AV58),"The maximum allowed limit for deduction u/s 124(1) is ten per cent of the salary (Basic Pay+DA) received in the previous year. ","")</f>
        <v/>
      </c>
      <c r="BM57" s="132"/>
      <c r="BN57" s="132"/>
      <c r="BO57" s="132"/>
      <c r="BP57" s="132"/>
      <c r="BQ57" s="132"/>
      <c r="BR57" s="132"/>
      <c r="BS57" s="132"/>
      <c r="BT57" s="132"/>
      <c r="BU57" s="132"/>
      <c r="BV57" s="132"/>
    </row>
    <row r="58" spans="2:75" ht="27.6" customHeight="1" x14ac:dyDescent="0.3">
      <c r="B58" s="20"/>
      <c r="C58" s="305" t="s">
        <v>220</v>
      </c>
      <c r="D58" s="528"/>
      <c r="E58" s="528"/>
      <c r="F58" s="528"/>
      <c r="G58" s="528"/>
      <c r="H58" s="528"/>
      <c r="I58" s="528"/>
      <c r="J58" s="528"/>
      <c r="K58" s="528"/>
      <c r="L58" s="528"/>
      <c r="M58" s="528"/>
      <c r="N58" s="528"/>
      <c r="O58" s="528"/>
      <c r="P58" s="528"/>
      <c r="Q58" s="528"/>
      <c r="R58" s="528"/>
      <c r="S58" s="528"/>
      <c r="T58" s="528"/>
      <c r="U58" s="528"/>
      <c r="V58" s="528"/>
      <c r="W58" s="528"/>
      <c r="X58" s="528"/>
      <c r="Y58" s="528"/>
      <c r="Z58" s="528"/>
      <c r="AA58" s="528"/>
      <c r="AB58" s="528"/>
      <c r="AC58" s="528"/>
      <c r="AD58" s="528"/>
      <c r="AE58" s="528"/>
      <c r="AF58" s="528"/>
      <c r="AG58" s="528"/>
      <c r="AH58" s="529"/>
      <c r="AI58" s="76" t="s">
        <v>5</v>
      </c>
      <c r="AJ58" s="322">
        <f>IF('Basic Information'!AN10="NPS",IF(ISNUMBER(BA30),SUM(BA28,BA30),BA28),0)</f>
        <v>0</v>
      </c>
      <c r="AK58" s="530"/>
      <c r="AL58" s="530"/>
      <c r="AM58" s="530"/>
      <c r="AN58" s="530"/>
      <c r="AO58" s="530"/>
      <c r="AP58" s="530"/>
      <c r="AQ58" s="530"/>
      <c r="AR58" s="530"/>
      <c r="AS58" s="530"/>
      <c r="AT58" s="349"/>
      <c r="AU58" s="349"/>
      <c r="AV58" s="200">
        <f>IF(AND(SUM(K24,R24)&lt;&gt;0,AJ58&lt;&gt;0),BA28,0)</f>
        <v>0</v>
      </c>
      <c r="AW58" s="262"/>
      <c r="AX58" s="262"/>
      <c r="AY58" s="262"/>
      <c r="AZ58" s="262"/>
      <c r="BA58" s="262"/>
      <c r="BB58" s="262"/>
      <c r="BC58" s="262"/>
      <c r="BD58" s="262"/>
      <c r="BE58" s="262"/>
      <c r="BF58" s="262"/>
      <c r="BG58" s="262"/>
      <c r="BH58" s="262"/>
      <c r="BI58" s="262"/>
      <c r="BJ58" s="262"/>
      <c r="BL58" s="132"/>
      <c r="BM58" s="132"/>
      <c r="BN58" s="132"/>
      <c r="BO58" s="132"/>
      <c r="BP58" s="132"/>
      <c r="BQ58" s="132"/>
      <c r="BR58" s="132"/>
      <c r="BS58" s="132"/>
      <c r="BT58" s="132"/>
      <c r="BU58" s="132"/>
      <c r="BV58" s="132"/>
    </row>
    <row r="59" spans="2:75" ht="8.1" customHeight="1" x14ac:dyDescent="0.3">
      <c r="B59" s="20"/>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J59" s="21"/>
      <c r="BL59" s="132"/>
      <c r="BM59" s="132"/>
      <c r="BN59" s="132"/>
      <c r="BO59" s="132"/>
      <c r="BP59" s="132"/>
      <c r="BQ59" s="132"/>
      <c r="BR59" s="132"/>
      <c r="BS59" s="132"/>
      <c r="BT59" s="132"/>
      <c r="BU59" s="132"/>
      <c r="BV59" s="132"/>
    </row>
    <row r="60" spans="2:75" ht="18" customHeight="1" x14ac:dyDescent="0.3">
      <c r="B60" s="22"/>
      <c r="C60" s="202" t="s">
        <v>92</v>
      </c>
      <c r="D60" s="531"/>
      <c r="E60" s="531"/>
      <c r="F60" s="531"/>
      <c r="G60" s="531"/>
      <c r="H60" s="531"/>
      <c r="I60" s="531"/>
      <c r="J60" s="531"/>
      <c r="K60" s="531"/>
      <c r="L60" s="531"/>
      <c r="M60" s="531"/>
      <c r="N60" s="531"/>
      <c r="O60" s="531"/>
      <c r="P60" s="531"/>
      <c r="Q60" s="531"/>
      <c r="R60" s="531"/>
      <c r="S60" s="531"/>
      <c r="T60" s="531"/>
      <c r="U60" s="531"/>
      <c r="V60" s="531"/>
      <c r="W60" s="531"/>
      <c r="X60" s="531"/>
      <c r="Y60" s="531"/>
      <c r="Z60" s="531"/>
      <c r="AA60" s="531"/>
      <c r="AB60" s="531"/>
      <c r="AC60" s="531"/>
      <c r="AD60" s="531"/>
      <c r="AE60" s="531"/>
      <c r="AF60" s="531"/>
      <c r="AG60" s="531"/>
      <c r="AH60" s="532"/>
      <c r="AI60" s="76" t="s">
        <v>5</v>
      </c>
      <c r="AJ60" s="205">
        <f>SUM(AJ58)</f>
        <v>0</v>
      </c>
      <c r="AK60" s="533"/>
      <c r="AL60" s="533"/>
      <c r="AM60" s="533"/>
      <c r="AN60" s="533"/>
      <c r="AO60" s="533"/>
      <c r="AP60" s="533"/>
      <c r="AQ60" s="533"/>
      <c r="AR60" s="533"/>
      <c r="AS60" s="534"/>
      <c r="AT60" s="349"/>
      <c r="AU60" s="349"/>
      <c r="AV60" s="193">
        <f>SUM(AV58)</f>
        <v>0</v>
      </c>
      <c r="AW60" s="524"/>
      <c r="AX60" s="524"/>
      <c r="AY60" s="524"/>
      <c r="AZ60" s="524"/>
      <c r="BA60" s="524"/>
      <c r="BB60" s="524"/>
      <c r="BC60" s="524"/>
      <c r="BD60" s="524"/>
      <c r="BE60" s="524"/>
      <c r="BF60" s="524"/>
      <c r="BG60" s="524"/>
      <c r="BH60" s="524"/>
      <c r="BI60" s="524"/>
      <c r="BJ60" s="525"/>
    </row>
    <row r="61" spans="2:75" ht="8.1" customHeight="1" x14ac:dyDescent="0.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row>
    <row r="62" spans="2:75" ht="18" customHeight="1" x14ac:dyDescent="0.3">
      <c r="B62" s="192" t="s">
        <v>156</v>
      </c>
      <c r="C62" s="295"/>
      <c r="D62" s="295"/>
      <c r="E62" s="295"/>
      <c r="F62" s="295"/>
      <c r="G62" s="295"/>
      <c r="H62" s="295"/>
      <c r="I62" s="295"/>
      <c r="J62" s="295"/>
      <c r="K62" s="295"/>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c r="AJ62" s="295"/>
      <c r="AK62" s="295"/>
      <c r="AL62" s="295"/>
      <c r="AM62" s="295"/>
      <c r="AN62" s="295"/>
      <c r="AO62" s="295"/>
      <c r="AP62" s="295"/>
      <c r="AQ62" s="295"/>
      <c r="AR62" s="295"/>
      <c r="AS62" s="295"/>
      <c r="AT62" s="296"/>
      <c r="AU62" s="76" t="s">
        <v>5</v>
      </c>
      <c r="AV62" s="193">
        <f>IF(AV54&gt;AV60,MROUND(ABS(AV54-AV60), 10),0)</f>
        <v>0</v>
      </c>
      <c r="AW62" s="524"/>
      <c r="AX62" s="524"/>
      <c r="AY62" s="524"/>
      <c r="AZ62" s="524"/>
      <c r="BA62" s="524"/>
      <c r="BB62" s="524"/>
      <c r="BC62" s="524"/>
      <c r="BD62" s="524"/>
      <c r="BE62" s="524"/>
      <c r="BF62" s="524"/>
      <c r="BG62" s="524"/>
      <c r="BH62" s="524"/>
      <c r="BI62" s="524"/>
      <c r="BJ62" s="525"/>
      <c r="BP62" s="174" t="str">
        <f>IF(AND(AV62&gt;=5000000, AV62&lt;=10000000),"You need to pay surcharge on the amount of income tax at 10% rate in addition to tax shown below.",IF(AND(AV62&gt;10000000, AV62&lt;=20000000),"You need to pay surcharge on the amount of income tax at 15% rate in addition to tax shown below.",IF(AV62&gt;20000000,"You need to pay surcharge on the amount of income tax at 25% rate in addition to tax shown below.","")))</f>
        <v/>
      </c>
      <c r="BQ62" s="174"/>
      <c r="BR62" s="174"/>
      <c r="BS62" s="174"/>
      <c r="BT62" s="174"/>
      <c r="BU62" s="174"/>
      <c r="BV62" s="174"/>
      <c r="BW62" s="174"/>
    </row>
    <row r="63" spans="2:75" ht="8.1" customHeight="1" x14ac:dyDescent="0.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P63" s="174"/>
      <c r="BQ63" s="174"/>
      <c r="BR63" s="174"/>
      <c r="BS63" s="174"/>
      <c r="BT63" s="174"/>
      <c r="BU63" s="174"/>
      <c r="BV63" s="174"/>
      <c r="BW63" s="174"/>
    </row>
    <row r="64" spans="2:75" x14ac:dyDescent="0.3">
      <c r="B64" s="192" t="s">
        <v>155</v>
      </c>
      <c r="C64" s="295"/>
      <c r="D64" s="295"/>
      <c r="E64" s="295"/>
      <c r="F64" s="295"/>
      <c r="G64" s="295"/>
      <c r="H64" s="295"/>
      <c r="I64" s="295"/>
      <c r="J64" s="295"/>
      <c r="K64" s="295"/>
      <c r="L64" s="295"/>
      <c r="M64" s="295"/>
      <c r="N64" s="295"/>
      <c r="O64" s="295"/>
      <c r="P64" s="295"/>
      <c r="Q64" s="295"/>
      <c r="R64" s="295"/>
      <c r="S64" s="295"/>
      <c r="T64" s="295"/>
      <c r="U64" s="295"/>
      <c r="V64" s="295"/>
      <c r="W64" s="295"/>
      <c r="X64" s="295"/>
      <c r="Y64" s="295"/>
      <c r="Z64" s="295"/>
      <c r="AA64" s="295"/>
      <c r="AB64" s="295"/>
      <c r="AC64" s="295"/>
      <c r="AD64" s="295"/>
      <c r="AE64" s="295"/>
      <c r="AF64" s="295"/>
      <c r="AG64" s="295"/>
      <c r="AH64" s="295"/>
      <c r="AI64" s="295"/>
      <c r="AJ64" s="295"/>
      <c r="AK64" s="295"/>
      <c r="AL64" s="295"/>
      <c r="AM64" s="295"/>
      <c r="AN64" s="295"/>
      <c r="AO64" s="295"/>
      <c r="AP64" s="295"/>
      <c r="AQ64" s="295"/>
      <c r="AR64" s="295"/>
      <c r="AS64" s="295"/>
      <c r="AT64" s="295"/>
      <c r="AU64" s="295"/>
      <c r="AV64" s="295"/>
      <c r="AW64" s="295"/>
      <c r="AX64" s="295"/>
      <c r="AY64" s="295"/>
      <c r="AZ64" s="295"/>
      <c r="BA64" s="295"/>
      <c r="BB64" s="295"/>
      <c r="BC64" s="295"/>
      <c r="BD64" s="295"/>
      <c r="BE64" s="295"/>
      <c r="BF64" s="295"/>
      <c r="BG64" s="295"/>
      <c r="BH64" s="295"/>
      <c r="BI64" s="295"/>
      <c r="BJ64" s="296"/>
    </row>
    <row r="65" spans="2:74" ht="8.1" customHeight="1" x14ac:dyDescent="0.3">
      <c r="B65" s="20"/>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J65" s="21"/>
    </row>
    <row r="66" spans="2:74" ht="18" customHeight="1" x14ac:dyDescent="0.3">
      <c r="B66" s="20"/>
      <c r="C66" s="201" t="s">
        <v>221</v>
      </c>
      <c r="D66" s="252"/>
      <c r="E66" s="252"/>
      <c r="F66" s="252"/>
      <c r="G66" s="252"/>
      <c r="H66" s="252"/>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2"/>
      <c r="AL66" s="252"/>
      <c r="AM66" s="252"/>
      <c r="AN66" s="252"/>
      <c r="AO66" s="252"/>
      <c r="AP66" s="252"/>
      <c r="AQ66" s="252"/>
      <c r="AR66" s="252"/>
      <c r="AS66" s="252"/>
      <c r="AT66" s="252"/>
      <c r="AU66" s="76" t="s">
        <v>5</v>
      </c>
      <c r="AV66" s="200">
        <f>ROUND(IF(AV62&lt;= 400000,0, IF(AND(AV62&gt; 400000,AV62&lt;= 800000),ABS(AV62- 400000)*0.05, IF(AND(AV62&gt; 800000,AV62&lt;= 1200000),20000+ ABS(AV62- 800000)*0.1, IF(AND(AV62&gt; 1200000,AV62&lt;= 1600000),60000+ ABS(AV62- 1200000)*0.15, IF(AND(AV62&gt; 1600000,AV62&lt;= 2000000),120000+ ABS(AV62- 1600000)*0.2, IF(AND(AV62&gt; 2000000,AV62&lt;= 2400000),200000+ ABS(AV62- 2000000)*0.25,IF(AV62&gt; 2400000, 300000+ABS(AV62- 2400000)*0.3,0))))))),0)</f>
        <v>0</v>
      </c>
      <c r="AW66" s="262"/>
      <c r="AX66" s="262"/>
      <c r="AY66" s="262"/>
      <c r="AZ66" s="262"/>
      <c r="BA66" s="262"/>
      <c r="BB66" s="262"/>
      <c r="BC66" s="262"/>
      <c r="BD66" s="262"/>
      <c r="BE66" s="262"/>
      <c r="BF66" s="262"/>
      <c r="BG66" s="262"/>
      <c r="BH66" s="262"/>
      <c r="BI66" s="262"/>
      <c r="BJ66" s="262"/>
    </row>
    <row r="67" spans="2:74" ht="8.1" customHeight="1" x14ac:dyDescent="0.3">
      <c r="B67" s="20"/>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J67" s="21"/>
      <c r="BP67" s="174" t="str">
        <f>IF(AND(AV62&gt;1200000,(AV62-1200000)&lt;=AV66),"You are availing of the benefit of marginal relief u/s 156(2) for the new tax regime u/s 202 (1).","")</f>
        <v/>
      </c>
      <c r="BQ67" s="174"/>
      <c r="BR67" s="174"/>
      <c r="BS67" s="174"/>
      <c r="BT67" s="174"/>
      <c r="BU67" s="174"/>
      <c r="BV67" s="174"/>
    </row>
    <row r="68" spans="2:74" ht="18" customHeight="1" x14ac:dyDescent="0.3">
      <c r="B68" s="20"/>
      <c r="C68" s="201" t="s">
        <v>222</v>
      </c>
      <c r="D68" s="252"/>
      <c r="E68" s="252"/>
      <c r="F68" s="252"/>
      <c r="G68" s="252"/>
      <c r="H68" s="252"/>
      <c r="I68" s="252"/>
      <c r="J68" s="252"/>
      <c r="K68" s="252"/>
      <c r="L68" s="252"/>
      <c r="M68" s="252"/>
      <c r="N68" s="252"/>
      <c r="O68" s="252"/>
      <c r="P68" s="252"/>
      <c r="Q68" s="252"/>
      <c r="R68" s="252"/>
      <c r="S68" s="252"/>
      <c r="T68" s="252"/>
      <c r="U68" s="252"/>
      <c r="V68" s="252"/>
      <c r="W68" s="252"/>
      <c r="X68" s="252"/>
      <c r="Y68" s="252"/>
      <c r="Z68" s="252"/>
      <c r="AA68" s="252"/>
      <c r="AB68" s="252"/>
      <c r="AC68" s="252"/>
      <c r="AD68" s="252"/>
      <c r="AE68" s="252"/>
      <c r="AF68" s="252"/>
      <c r="AG68" s="252"/>
      <c r="AH68" s="252"/>
      <c r="AI68" s="252"/>
      <c r="AJ68" s="252"/>
      <c r="AK68" s="252"/>
      <c r="AL68" s="252"/>
      <c r="AM68" s="252"/>
      <c r="AN68" s="252"/>
      <c r="AO68" s="252"/>
      <c r="AP68" s="252"/>
      <c r="AQ68" s="252"/>
      <c r="AR68" s="252"/>
      <c r="AS68" s="252"/>
      <c r="AT68" s="252"/>
      <c r="AU68" s="76" t="s">
        <v>5</v>
      </c>
      <c r="AV68" s="200">
        <f>IF(AND(AV62&lt;=1200000, AV62&lt;&gt;0),IF(AV66&lt;=60000,AV66,60000),IF(AND(AV62&lt;&gt;0,(AV62-1200000)&lt;=AV66),AV66-(AV62-1200000),0))</f>
        <v>0</v>
      </c>
      <c r="AW68" s="262"/>
      <c r="AX68" s="262"/>
      <c r="AY68" s="262"/>
      <c r="AZ68" s="262"/>
      <c r="BA68" s="262"/>
      <c r="BB68" s="262"/>
      <c r="BC68" s="262"/>
      <c r="BD68" s="262"/>
      <c r="BE68" s="262"/>
      <c r="BF68" s="262"/>
      <c r="BG68" s="262"/>
      <c r="BH68" s="262"/>
      <c r="BI68" s="262"/>
      <c r="BJ68" s="262"/>
      <c r="BP68" s="174"/>
      <c r="BQ68" s="174"/>
      <c r="BR68" s="174"/>
      <c r="BS68" s="174"/>
      <c r="BT68" s="174"/>
      <c r="BU68" s="174"/>
      <c r="BV68" s="174"/>
    </row>
    <row r="69" spans="2:74" ht="8.1" customHeight="1" x14ac:dyDescent="0.3">
      <c r="B69" s="20"/>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J69" s="21"/>
      <c r="BP69" s="174"/>
      <c r="BQ69" s="174"/>
      <c r="BR69" s="174"/>
      <c r="BS69" s="174"/>
      <c r="BT69" s="174"/>
      <c r="BU69" s="174"/>
      <c r="BV69" s="174"/>
    </row>
    <row r="70" spans="2:74" ht="18" customHeight="1" x14ac:dyDescent="0.3">
      <c r="B70" s="20"/>
      <c r="C70" s="201" t="s">
        <v>132</v>
      </c>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L70" s="252"/>
      <c r="AM70" s="252"/>
      <c r="AN70" s="252"/>
      <c r="AO70" s="252"/>
      <c r="AP70" s="252"/>
      <c r="AQ70" s="252"/>
      <c r="AR70" s="252"/>
      <c r="AS70" s="252"/>
      <c r="AT70" s="252"/>
      <c r="AU70" s="76" t="s">
        <v>5</v>
      </c>
      <c r="AV70" s="200">
        <f>IF((AV66&lt;AV68),0,ROUND(ABS(AV66-AV68),0))</f>
        <v>0</v>
      </c>
      <c r="AW70" s="262"/>
      <c r="AX70" s="262"/>
      <c r="AY70" s="262"/>
      <c r="AZ70" s="262"/>
      <c r="BA70" s="262"/>
      <c r="BB70" s="262"/>
      <c r="BC70" s="262"/>
      <c r="BD70" s="262"/>
      <c r="BE70" s="262"/>
      <c r="BF70" s="262"/>
      <c r="BG70" s="262"/>
      <c r="BH70" s="262"/>
      <c r="BI70" s="262"/>
      <c r="BJ70" s="262"/>
    </row>
    <row r="71" spans="2:74" ht="8.1" customHeight="1" x14ac:dyDescent="0.3">
      <c r="B71" s="20"/>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J71" s="21"/>
    </row>
    <row r="72" spans="2:74" ht="18" customHeight="1" x14ac:dyDescent="0.3">
      <c r="B72" s="20"/>
      <c r="C72" s="201" t="s">
        <v>111</v>
      </c>
      <c r="D72" s="252"/>
      <c r="E72" s="252"/>
      <c r="F72" s="252"/>
      <c r="G72" s="252"/>
      <c r="H72" s="252"/>
      <c r="I72" s="252"/>
      <c r="J72" s="252"/>
      <c r="K72" s="252"/>
      <c r="L72" s="252"/>
      <c r="M72" s="252"/>
      <c r="N72" s="252"/>
      <c r="O72" s="252"/>
      <c r="P72" s="252"/>
      <c r="Q72" s="252"/>
      <c r="R72" s="252"/>
      <c r="S72" s="252"/>
      <c r="T72" s="252"/>
      <c r="U72" s="252"/>
      <c r="V72" s="252"/>
      <c r="W72" s="252"/>
      <c r="X72" s="252"/>
      <c r="Y72" s="252"/>
      <c r="Z72" s="252"/>
      <c r="AA72" s="252"/>
      <c r="AB72" s="252"/>
      <c r="AC72" s="252"/>
      <c r="AD72" s="252"/>
      <c r="AE72" s="252"/>
      <c r="AF72" s="252"/>
      <c r="AG72" s="252"/>
      <c r="AH72" s="252"/>
      <c r="AI72" s="252"/>
      <c r="AJ72" s="252"/>
      <c r="AK72" s="252"/>
      <c r="AL72" s="252"/>
      <c r="AM72" s="252"/>
      <c r="AN72" s="252"/>
      <c r="AO72" s="252"/>
      <c r="AP72" s="252"/>
      <c r="AQ72" s="252"/>
      <c r="AR72" s="252"/>
      <c r="AS72" s="252"/>
      <c r="AT72" s="252"/>
      <c r="AU72" s="76" t="s">
        <v>5</v>
      </c>
      <c r="AV72" s="200">
        <f>IF(AV70&lt;&gt;0,ROUND(AV70*0.04,0),0)</f>
        <v>0</v>
      </c>
      <c r="AW72" s="262"/>
      <c r="AX72" s="262"/>
      <c r="AY72" s="262"/>
      <c r="AZ72" s="262"/>
      <c r="BA72" s="262"/>
      <c r="BB72" s="262"/>
      <c r="BC72" s="262"/>
      <c r="BD72" s="262"/>
      <c r="BE72" s="262"/>
      <c r="BF72" s="262"/>
      <c r="BG72" s="262"/>
      <c r="BH72" s="262"/>
      <c r="BI72" s="262"/>
      <c r="BJ72" s="262"/>
    </row>
    <row r="73" spans="2:74" ht="8.1" customHeight="1" x14ac:dyDescent="0.3">
      <c r="B73" s="20"/>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J73" s="21"/>
    </row>
    <row r="74" spans="2:74" ht="18" customHeight="1" x14ac:dyDescent="0.3">
      <c r="B74" s="20"/>
      <c r="C74" s="201" t="s">
        <v>206</v>
      </c>
      <c r="D74" s="252"/>
      <c r="E74" s="252"/>
      <c r="F74" s="252"/>
      <c r="G74" s="252"/>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2"/>
      <c r="AI74" s="252"/>
      <c r="AJ74" s="252"/>
      <c r="AK74" s="252"/>
      <c r="AL74" s="252"/>
      <c r="AM74" s="252"/>
      <c r="AN74" s="252"/>
      <c r="AO74" s="252"/>
      <c r="AP74" s="252"/>
      <c r="AQ74" s="252"/>
      <c r="AR74" s="252"/>
      <c r="AS74" s="252"/>
      <c r="AT74" s="252"/>
      <c r="AU74" s="76" t="s">
        <v>5</v>
      </c>
      <c r="AV74" s="200">
        <f>AV70+AV72</f>
        <v>0</v>
      </c>
      <c r="AW74" s="262"/>
      <c r="AX74" s="262"/>
      <c r="AY74" s="262"/>
      <c r="AZ74" s="262"/>
      <c r="BA74" s="262"/>
      <c r="BB74" s="262"/>
      <c r="BC74" s="262"/>
      <c r="BD74" s="262"/>
      <c r="BE74" s="262"/>
      <c r="BF74" s="262"/>
      <c r="BG74" s="262"/>
      <c r="BH74" s="262"/>
      <c r="BI74" s="262"/>
      <c r="BJ74" s="262"/>
    </row>
    <row r="75" spans="2:74" ht="8.1" customHeight="1" x14ac:dyDescent="0.3">
      <c r="B75" s="20"/>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J75" s="21"/>
    </row>
    <row r="76" spans="2:74" ht="18" customHeight="1" x14ac:dyDescent="0.3">
      <c r="B76" s="20"/>
      <c r="C76" s="201" t="s">
        <v>202</v>
      </c>
      <c r="D76" s="252"/>
      <c r="E76" s="252"/>
      <c r="F76" s="252"/>
      <c r="G76" s="252"/>
      <c r="H76" s="252"/>
      <c r="I76" s="252"/>
      <c r="J76" s="252"/>
      <c r="K76" s="252"/>
      <c r="L76" s="252"/>
      <c r="M76" s="252"/>
      <c r="N76" s="252"/>
      <c r="O76" s="252"/>
      <c r="P76" s="252"/>
      <c r="Q76" s="252"/>
      <c r="R76" s="252"/>
      <c r="S76" s="252"/>
      <c r="T76" s="252"/>
      <c r="U76" s="252"/>
      <c r="V76" s="252"/>
      <c r="W76" s="252"/>
      <c r="X76" s="252"/>
      <c r="Y76" s="252"/>
      <c r="Z76" s="252"/>
      <c r="AA76" s="252"/>
      <c r="AB76" s="252"/>
      <c r="AC76" s="252"/>
      <c r="AD76" s="252"/>
      <c r="AE76" s="252"/>
      <c r="AF76" s="252"/>
      <c r="AG76" s="252"/>
      <c r="AH76" s="252"/>
      <c r="AI76" s="252"/>
      <c r="AJ76" s="252"/>
      <c r="AK76" s="252"/>
      <c r="AL76" s="252"/>
      <c r="AM76" s="252"/>
      <c r="AN76" s="252"/>
      <c r="AO76" s="252"/>
      <c r="AP76" s="252"/>
      <c r="AQ76" s="252"/>
      <c r="AR76" s="252"/>
      <c r="AS76" s="252"/>
      <c r="AT76" s="252"/>
      <c r="AU76" s="76" t="s">
        <v>5</v>
      </c>
      <c r="AV76" s="200">
        <f>IF(ISNUMBER('Form 10E - New Scheme'!AF79),'Form 10E - New Scheme'!AF79,0)</f>
        <v>0</v>
      </c>
      <c r="AW76" s="262"/>
      <c r="AX76" s="262"/>
      <c r="AY76" s="262"/>
      <c r="AZ76" s="262"/>
      <c r="BA76" s="262"/>
      <c r="BB76" s="262"/>
      <c r="BC76" s="262"/>
      <c r="BD76" s="262"/>
      <c r="BE76" s="262"/>
      <c r="BF76" s="262"/>
      <c r="BG76" s="262"/>
      <c r="BH76" s="262"/>
      <c r="BI76" s="262"/>
      <c r="BJ76" s="262"/>
    </row>
    <row r="77" spans="2:74" ht="8.1" customHeight="1" x14ac:dyDescent="0.3">
      <c r="B77" s="22"/>
      <c r="C77" s="17"/>
      <c r="D77" s="17"/>
      <c r="E77" s="17"/>
      <c r="F77" s="17"/>
      <c r="G77" s="17"/>
      <c r="H77" s="17"/>
      <c r="I77" s="17"/>
      <c r="J77" s="17"/>
      <c r="K77" s="17"/>
      <c r="L77" s="17"/>
      <c r="M77" s="17"/>
      <c r="N77" s="17"/>
      <c r="O77" s="17"/>
      <c r="P77" s="17"/>
      <c r="Q77" s="17"/>
      <c r="R77" s="17"/>
      <c r="S77" s="17"/>
      <c r="T77" s="17"/>
      <c r="U77" s="17"/>
      <c r="V77" s="17"/>
      <c r="W77" s="17"/>
      <c r="X77" s="17"/>
      <c r="Y77" s="17"/>
      <c r="Z77" s="74" t="s">
        <v>124</v>
      </c>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8"/>
      <c r="BG77" s="18"/>
      <c r="BH77" s="18"/>
      <c r="BI77" s="18"/>
      <c r="BJ77" s="23"/>
    </row>
    <row r="78" spans="2:74" ht="18" customHeight="1" x14ac:dyDescent="0.3">
      <c r="B78" s="207" t="str">
        <f>IF(AV76&gt;AV74, "9. Refund (f - e) u/s 431 ",   "9. Balance Tax After Relief / Amount payable  (e - f)  ")</f>
        <v xml:space="preserve">9. Balance Tax After Relief / Amount payable  (e - f)  </v>
      </c>
      <c r="C78" s="252"/>
      <c r="D78" s="252"/>
      <c r="E78" s="252"/>
      <c r="F78" s="252"/>
      <c r="G78" s="252"/>
      <c r="H78" s="252"/>
      <c r="I78" s="252"/>
      <c r="J78" s="252"/>
      <c r="K78" s="252"/>
      <c r="L78" s="252"/>
      <c r="M78" s="252"/>
      <c r="N78" s="252"/>
      <c r="O78" s="252"/>
      <c r="P78" s="252"/>
      <c r="Q78" s="252"/>
      <c r="R78" s="252"/>
      <c r="S78" s="252"/>
      <c r="T78" s="252"/>
      <c r="U78" s="252"/>
      <c r="V78" s="252"/>
      <c r="W78" s="252"/>
      <c r="X78" s="252"/>
      <c r="Y78" s="252"/>
      <c r="Z78" s="252"/>
      <c r="AA78" s="252"/>
      <c r="AB78" s="252"/>
      <c r="AC78" s="252"/>
      <c r="AD78" s="252"/>
      <c r="AE78" s="252"/>
      <c r="AF78" s="252"/>
      <c r="AG78" s="252"/>
      <c r="AH78" s="252"/>
      <c r="AI78" s="252"/>
      <c r="AJ78" s="252"/>
      <c r="AK78" s="252"/>
      <c r="AL78" s="252"/>
      <c r="AM78" s="252"/>
      <c r="AN78" s="252"/>
      <c r="AO78" s="252"/>
      <c r="AP78" s="252"/>
      <c r="AQ78" s="252"/>
      <c r="AR78" s="252"/>
      <c r="AS78" s="252"/>
      <c r="AT78" s="252"/>
      <c r="AU78" s="76" t="s">
        <v>5</v>
      </c>
      <c r="AV78" s="200" t="str">
        <f>IF(AV74&lt;&gt;AV76,MROUND(ABS(AV74-AV76),10),"NIL")</f>
        <v>NIL</v>
      </c>
      <c r="AW78" s="262"/>
      <c r="AX78" s="262"/>
      <c r="AY78" s="262"/>
      <c r="AZ78" s="262"/>
      <c r="BA78" s="262"/>
      <c r="BB78" s="262"/>
      <c r="BC78" s="262"/>
      <c r="BD78" s="262"/>
      <c r="BE78" s="262"/>
      <c r="BF78" s="262"/>
      <c r="BG78" s="262"/>
      <c r="BH78" s="262"/>
      <c r="BI78" s="262"/>
      <c r="BJ78" s="262"/>
      <c r="BS78" s="14"/>
    </row>
    <row r="79" spans="2:74" ht="8.1" customHeight="1" x14ac:dyDescent="0.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row>
    <row r="80" spans="2:74" x14ac:dyDescent="0.3">
      <c r="B80" s="133" t="s">
        <v>223</v>
      </c>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4"/>
      <c r="AX80" s="134"/>
      <c r="AY80" s="134"/>
      <c r="AZ80" s="134"/>
      <c r="BA80" s="134"/>
      <c r="BB80" s="134"/>
      <c r="BC80" s="134"/>
      <c r="BD80" s="134"/>
      <c r="BE80" s="134"/>
      <c r="BF80" s="134"/>
      <c r="BG80" s="134"/>
      <c r="BH80" s="134"/>
      <c r="BI80" s="134"/>
      <c r="BJ80" s="256"/>
    </row>
    <row r="81" spans="2:70" ht="8.1" customHeight="1" x14ac:dyDescent="0.3">
      <c r="B81" s="20"/>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J81" s="21"/>
    </row>
    <row r="82" spans="2:70" x14ac:dyDescent="0.3">
      <c r="B82" s="20"/>
      <c r="C82" s="198" t="s">
        <v>0</v>
      </c>
      <c r="D82" s="535"/>
      <c r="E82" s="535"/>
      <c r="F82" s="535"/>
      <c r="G82" s="535"/>
      <c r="H82" s="535"/>
      <c r="I82" s="535"/>
      <c r="J82" s="535"/>
      <c r="K82" s="535"/>
      <c r="L82" s="535"/>
      <c r="M82" s="535"/>
      <c r="N82" s="535"/>
      <c r="O82" s="198" t="s">
        <v>98</v>
      </c>
      <c r="P82" s="535"/>
      <c r="Q82" s="535"/>
      <c r="R82" s="535"/>
      <c r="S82" s="535"/>
      <c r="T82" s="535"/>
      <c r="U82" s="535"/>
      <c r="V82" s="535"/>
      <c r="W82" s="198" t="s">
        <v>0</v>
      </c>
      <c r="X82" s="535"/>
      <c r="Y82" s="535"/>
      <c r="Z82" s="535"/>
      <c r="AA82" s="535"/>
      <c r="AB82" s="535"/>
      <c r="AC82" s="535"/>
      <c r="AD82" s="535"/>
      <c r="AE82" s="535"/>
      <c r="AF82" s="535"/>
      <c r="AG82" s="535"/>
      <c r="AH82" s="535"/>
      <c r="AI82" s="198" t="s">
        <v>98</v>
      </c>
      <c r="AJ82" s="535"/>
      <c r="AK82" s="535"/>
      <c r="AL82" s="535"/>
      <c r="AM82" s="535"/>
      <c r="AN82" s="535"/>
      <c r="AO82" s="535"/>
      <c r="AP82" s="535"/>
      <c r="AQ82" s="198" t="s">
        <v>0</v>
      </c>
      <c r="AR82" s="535"/>
      <c r="AS82" s="535"/>
      <c r="AT82" s="535"/>
      <c r="AU82" s="535"/>
      <c r="AV82" s="535"/>
      <c r="AW82" s="535"/>
      <c r="AX82" s="535"/>
      <c r="AY82" s="535"/>
      <c r="AZ82" s="535"/>
      <c r="BA82" s="535"/>
      <c r="BB82" s="535"/>
      <c r="BC82" s="198" t="s">
        <v>98</v>
      </c>
      <c r="BD82" s="535"/>
      <c r="BE82" s="535"/>
      <c r="BF82" s="535"/>
      <c r="BG82" s="535"/>
      <c r="BH82" s="535"/>
      <c r="BI82" s="535"/>
      <c r="BJ82" s="535"/>
      <c r="BP82" s="6">
        <f>SUM(O83,O84,O85,O86,O87,AI83,AI84,AI85,AI86,AI87,BC83,BC85,BC86)</f>
        <v>0</v>
      </c>
      <c r="BQ82" s="6">
        <f>IF(AND(SIGN(AV76-AV74)&lt;&gt;1,ISNUMBER(AV78)),IF(SIGN(BP82-AV78)&lt;&gt;1,ABS(BP82-AV78),0),0)</f>
        <v>0</v>
      </c>
      <c r="BR82" s="6">
        <f>IF(ISNUMBER(BQ82),MROUND(BQ82/3,100),0)</f>
        <v>0</v>
      </c>
    </row>
    <row r="83" spans="2:70" ht="16.5" customHeight="1" x14ac:dyDescent="0.3">
      <c r="B83" s="20"/>
      <c r="C83" s="222" t="s">
        <v>28</v>
      </c>
      <c r="D83" s="295"/>
      <c r="E83" s="295"/>
      <c r="F83" s="295"/>
      <c r="G83" s="295"/>
      <c r="H83" s="295"/>
      <c r="I83" s="295"/>
      <c r="J83" s="295"/>
      <c r="K83" s="154">
        <v>2025</v>
      </c>
      <c r="L83" s="295"/>
      <c r="M83" s="295"/>
      <c r="N83" s="296"/>
      <c r="O83" s="205">
        <f>IF(ISNUMBER('Income Tax Proforma - Old Schem'!O182),'Income Tax Proforma - Old Schem'!O182,0)</f>
        <v>0</v>
      </c>
      <c r="P83" s="156"/>
      <c r="Q83" s="156"/>
      <c r="R83" s="156"/>
      <c r="S83" s="156"/>
      <c r="T83" s="156"/>
      <c r="U83" s="156"/>
      <c r="V83" s="157"/>
      <c r="W83" s="222" t="s">
        <v>33</v>
      </c>
      <c r="X83" s="295"/>
      <c r="Y83" s="295"/>
      <c r="Z83" s="295"/>
      <c r="AA83" s="295"/>
      <c r="AB83" s="295"/>
      <c r="AC83" s="295"/>
      <c r="AD83" s="295"/>
      <c r="AE83" s="154">
        <v>2025</v>
      </c>
      <c r="AF83" s="295"/>
      <c r="AG83" s="295"/>
      <c r="AH83" s="296"/>
      <c r="AI83" s="205">
        <f>IF(ISNUMBER('Income Tax Proforma - Old Schem'!AI182),'Income Tax Proforma - Old Schem'!AI182,0)</f>
        <v>0</v>
      </c>
      <c r="AJ83" s="156"/>
      <c r="AK83" s="156"/>
      <c r="AL83" s="156"/>
      <c r="AM83" s="156"/>
      <c r="AN83" s="156"/>
      <c r="AO83" s="156"/>
      <c r="AP83" s="157"/>
      <c r="AQ83" s="201" t="s">
        <v>26</v>
      </c>
      <c r="AR83" s="252"/>
      <c r="AS83" s="252"/>
      <c r="AT83" s="252"/>
      <c r="AU83" s="252"/>
      <c r="AV83" s="252"/>
      <c r="AW83" s="252"/>
      <c r="AX83" s="352"/>
      <c r="AY83" s="154">
        <v>2026</v>
      </c>
      <c r="AZ83" s="295"/>
      <c r="BA83" s="295"/>
      <c r="BB83" s="296"/>
      <c r="BC83" s="205">
        <f>IF(ISNUMBER('Income Tax Proforma - Old Schem'!BC182),'Income Tax Proforma - Old Schem'!BC182,0)</f>
        <v>0</v>
      </c>
      <c r="BD83" s="156"/>
      <c r="BE83" s="156"/>
      <c r="BF83" s="156"/>
      <c r="BG83" s="156"/>
      <c r="BH83" s="156"/>
      <c r="BI83" s="156"/>
      <c r="BJ83" s="157"/>
    </row>
    <row r="84" spans="2:70" ht="16.5" customHeight="1" x14ac:dyDescent="0.3">
      <c r="B84" s="20"/>
      <c r="C84" s="222" t="s">
        <v>29</v>
      </c>
      <c r="D84" s="295"/>
      <c r="E84" s="295"/>
      <c r="F84" s="295"/>
      <c r="G84" s="295"/>
      <c r="H84" s="295"/>
      <c r="I84" s="295"/>
      <c r="J84" s="295"/>
      <c r="K84" s="154">
        <v>2025</v>
      </c>
      <c r="L84" s="295"/>
      <c r="M84" s="295"/>
      <c r="N84" s="296"/>
      <c r="O84" s="205">
        <f>IF(ISNUMBER('Income Tax Proforma - Old Schem'!O183),'Income Tax Proforma - Old Schem'!O183,0)</f>
        <v>0</v>
      </c>
      <c r="P84" s="156"/>
      <c r="Q84" s="156"/>
      <c r="R84" s="156"/>
      <c r="S84" s="156"/>
      <c r="T84" s="156"/>
      <c r="U84" s="156"/>
      <c r="V84" s="157"/>
      <c r="W84" s="222" t="s">
        <v>24</v>
      </c>
      <c r="X84" s="295"/>
      <c r="Y84" s="295"/>
      <c r="Z84" s="295"/>
      <c r="AA84" s="295"/>
      <c r="AB84" s="295"/>
      <c r="AC84" s="295"/>
      <c r="AD84" s="295"/>
      <c r="AE84" s="154">
        <v>2025</v>
      </c>
      <c r="AF84" s="295"/>
      <c r="AG84" s="295"/>
      <c r="AH84" s="296"/>
      <c r="AI84" s="205">
        <f>IF(ISNUMBER('Income Tax Proforma - Old Schem'!AI183),'Income Tax Proforma - Old Schem'!AI183,0)</f>
        <v>0</v>
      </c>
      <c r="AJ84" s="156"/>
      <c r="AK84" s="156"/>
      <c r="AL84" s="156"/>
      <c r="AM84" s="156"/>
      <c r="AN84" s="156"/>
      <c r="AO84" s="156"/>
      <c r="AP84" s="157"/>
      <c r="AQ84" s="201" t="s">
        <v>25</v>
      </c>
      <c r="AR84" s="252"/>
      <c r="AS84" s="252"/>
      <c r="AT84" s="252"/>
      <c r="AU84" s="252"/>
      <c r="AV84" s="252"/>
      <c r="AW84" s="252"/>
      <c r="AX84" s="352"/>
      <c r="AY84" s="154">
        <v>2026</v>
      </c>
      <c r="AZ84" s="295"/>
      <c r="BA84" s="295"/>
      <c r="BB84" s="296"/>
      <c r="BC84" s="156">
        <f>IF(AND(ISNUMBER(AV78),ISNUMBER(BQ82)),IF(AND(SIGN(AV76-AV74)=-1,SIGN(BP82-AV78)&lt;&gt;1),ROUND(ABS(AV78-SUM(O83:V87,AI83:AP87,BC83,BC85:BJ86)),0),0),0)</f>
        <v>0</v>
      </c>
      <c r="BD84" s="533"/>
      <c r="BE84" s="533"/>
      <c r="BF84" s="533"/>
      <c r="BG84" s="533"/>
      <c r="BH84" s="533"/>
      <c r="BI84" s="533"/>
      <c r="BJ84" s="534"/>
      <c r="BQ84" s="13"/>
    </row>
    <row r="85" spans="2:70" ht="16.5" customHeight="1" x14ac:dyDescent="0.3">
      <c r="B85" s="20"/>
      <c r="C85" s="222" t="s">
        <v>30</v>
      </c>
      <c r="D85" s="295"/>
      <c r="E85" s="295"/>
      <c r="F85" s="295"/>
      <c r="G85" s="295"/>
      <c r="H85" s="295"/>
      <c r="I85" s="295"/>
      <c r="J85" s="295"/>
      <c r="K85" s="154">
        <v>2025</v>
      </c>
      <c r="L85" s="295"/>
      <c r="M85" s="295"/>
      <c r="N85" s="296"/>
      <c r="O85" s="205">
        <f>IF(ISNUMBER('Income Tax Proforma - Old Schem'!O184),'Income Tax Proforma - Old Schem'!O184,0)</f>
        <v>0</v>
      </c>
      <c r="P85" s="156"/>
      <c r="Q85" s="156"/>
      <c r="R85" s="156"/>
      <c r="S85" s="156"/>
      <c r="T85" s="156"/>
      <c r="U85" s="156"/>
      <c r="V85" s="157"/>
      <c r="W85" s="222" t="s">
        <v>34</v>
      </c>
      <c r="X85" s="295"/>
      <c r="Y85" s="295"/>
      <c r="Z85" s="295"/>
      <c r="AA85" s="295"/>
      <c r="AB85" s="295"/>
      <c r="AC85" s="295"/>
      <c r="AD85" s="295"/>
      <c r="AE85" s="154">
        <v>2025</v>
      </c>
      <c r="AF85" s="295"/>
      <c r="AG85" s="295"/>
      <c r="AH85" s="296"/>
      <c r="AI85" s="205">
        <f>IF(ISNUMBER('Income Tax Proforma - Old Schem'!AI184),'Income Tax Proforma - Old Schem'!AI184,0)</f>
        <v>0</v>
      </c>
      <c r="AJ85" s="156"/>
      <c r="AK85" s="156"/>
      <c r="AL85" s="156"/>
      <c r="AM85" s="156"/>
      <c r="AN85" s="156"/>
      <c r="AO85" s="156"/>
      <c r="AP85" s="157"/>
      <c r="AQ85" s="536" t="str">
        <f>IF(ISTEXT('Income Tax Proforma - Old Schem'!AQ184),'Income Tax Proforma - Old Schem'!AQ184,"")</f>
        <v/>
      </c>
      <c r="AR85" s="265"/>
      <c r="AS85" s="265"/>
      <c r="AT85" s="265"/>
      <c r="AU85" s="265"/>
      <c r="AV85" s="265"/>
      <c r="AW85" s="265"/>
      <c r="AX85" s="265"/>
      <c r="AY85" s="265"/>
      <c r="AZ85" s="265"/>
      <c r="BA85" s="265"/>
      <c r="BB85" s="266"/>
      <c r="BC85" s="205">
        <f>IF(ISNUMBER('Income Tax Proforma - Old Schem'!BC184),'Income Tax Proforma - Old Schem'!BC184,0)</f>
        <v>0</v>
      </c>
      <c r="BD85" s="156"/>
      <c r="BE85" s="156"/>
      <c r="BF85" s="156"/>
      <c r="BG85" s="156"/>
      <c r="BH85" s="156"/>
      <c r="BI85" s="156"/>
      <c r="BJ85" s="157"/>
    </row>
    <row r="86" spans="2:70" ht="16.5" customHeight="1" x14ac:dyDescent="0.3">
      <c r="B86" s="20"/>
      <c r="C86" s="222" t="s">
        <v>31</v>
      </c>
      <c r="D86" s="295"/>
      <c r="E86" s="295"/>
      <c r="F86" s="295"/>
      <c r="G86" s="295"/>
      <c r="H86" s="295"/>
      <c r="I86" s="295"/>
      <c r="J86" s="295"/>
      <c r="K86" s="154">
        <v>2025</v>
      </c>
      <c r="L86" s="295"/>
      <c r="M86" s="295"/>
      <c r="N86" s="296"/>
      <c r="O86" s="205">
        <f>IF(ISNUMBER('Income Tax Proforma - Old Schem'!O185),'Income Tax Proforma - Old Schem'!O185,0)</f>
        <v>0</v>
      </c>
      <c r="P86" s="156"/>
      <c r="Q86" s="156"/>
      <c r="R86" s="156"/>
      <c r="S86" s="156"/>
      <c r="T86" s="156"/>
      <c r="U86" s="156"/>
      <c r="V86" s="157"/>
      <c r="W86" s="222" t="s">
        <v>35</v>
      </c>
      <c r="X86" s="295"/>
      <c r="Y86" s="295"/>
      <c r="Z86" s="295"/>
      <c r="AA86" s="295"/>
      <c r="AB86" s="295"/>
      <c r="AC86" s="295"/>
      <c r="AD86" s="295"/>
      <c r="AE86" s="154">
        <v>2025</v>
      </c>
      <c r="AF86" s="295"/>
      <c r="AG86" s="295"/>
      <c r="AH86" s="296"/>
      <c r="AI86" s="205">
        <f>IF(ISNUMBER('Income Tax Proforma - Old Schem'!AI185),'Income Tax Proforma - Old Schem'!AI185,0)</f>
        <v>0</v>
      </c>
      <c r="AJ86" s="156"/>
      <c r="AK86" s="156"/>
      <c r="AL86" s="156"/>
      <c r="AM86" s="156"/>
      <c r="AN86" s="156"/>
      <c r="AO86" s="156"/>
      <c r="AP86" s="157"/>
      <c r="AQ86" s="536" t="str">
        <f>IF(ISTEXT('Income Tax Proforma - Old Schem'!AQ185),'Income Tax Proforma - Old Schem'!AQ185,"")</f>
        <v/>
      </c>
      <c r="AR86" s="265"/>
      <c r="AS86" s="265"/>
      <c r="AT86" s="265"/>
      <c r="AU86" s="265"/>
      <c r="AV86" s="265"/>
      <c r="AW86" s="265"/>
      <c r="AX86" s="265"/>
      <c r="AY86" s="265"/>
      <c r="AZ86" s="265"/>
      <c r="BA86" s="265"/>
      <c r="BB86" s="266"/>
      <c r="BC86" s="205">
        <f>IF(ISNUMBER('Income Tax Proforma - Old Schem'!BC185),'Income Tax Proforma - Old Schem'!BC185,0)</f>
        <v>0</v>
      </c>
      <c r="BD86" s="156"/>
      <c r="BE86" s="156"/>
      <c r="BF86" s="156"/>
      <c r="BG86" s="156"/>
      <c r="BH86" s="156"/>
      <c r="BI86" s="156"/>
      <c r="BJ86" s="157"/>
    </row>
    <row r="87" spans="2:70" ht="16.5" customHeight="1" x14ac:dyDescent="0.3">
      <c r="B87" s="20"/>
      <c r="C87" s="222" t="s">
        <v>32</v>
      </c>
      <c r="D87" s="295"/>
      <c r="E87" s="295"/>
      <c r="F87" s="295"/>
      <c r="G87" s="295"/>
      <c r="H87" s="295"/>
      <c r="I87" s="295"/>
      <c r="J87" s="295"/>
      <c r="K87" s="154">
        <v>2025</v>
      </c>
      <c r="L87" s="295"/>
      <c r="M87" s="295"/>
      <c r="N87" s="296"/>
      <c r="O87" s="205">
        <f>IF(ISNUMBER('Income Tax Proforma - Old Schem'!O186),'Income Tax Proforma - Old Schem'!O186,0)</f>
        <v>0</v>
      </c>
      <c r="P87" s="156"/>
      <c r="Q87" s="156"/>
      <c r="R87" s="156"/>
      <c r="S87" s="156"/>
      <c r="T87" s="156"/>
      <c r="U87" s="156"/>
      <c r="V87" s="157"/>
      <c r="W87" s="222" t="s">
        <v>27</v>
      </c>
      <c r="X87" s="295"/>
      <c r="Y87" s="295"/>
      <c r="Z87" s="295"/>
      <c r="AA87" s="295"/>
      <c r="AB87" s="295"/>
      <c r="AC87" s="295"/>
      <c r="AD87" s="295"/>
      <c r="AE87" s="154">
        <v>2025</v>
      </c>
      <c r="AF87" s="295"/>
      <c r="AG87" s="295"/>
      <c r="AH87" s="296"/>
      <c r="AI87" s="205">
        <f>IF(ISNUMBER('Income Tax Proforma - Old Schem'!AI186),'Income Tax Proforma - Old Schem'!AI186,0)</f>
        <v>0</v>
      </c>
      <c r="AJ87" s="156"/>
      <c r="AK87" s="156"/>
      <c r="AL87" s="156"/>
      <c r="AM87" s="156"/>
      <c r="AN87" s="156"/>
      <c r="AO87" s="156"/>
      <c r="AP87" s="157"/>
      <c r="AQ87" s="145" t="s">
        <v>4</v>
      </c>
      <c r="AR87" s="276"/>
      <c r="AS87" s="276"/>
      <c r="AT87" s="276"/>
      <c r="AU87" s="276"/>
      <c r="AV87" s="276"/>
      <c r="AW87" s="276"/>
      <c r="AX87" s="276"/>
      <c r="AY87" s="263"/>
      <c r="AZ87" s="263"/>
      <c r="BA87" s="263"/>
      <c r="BB87" s="278"/>
      <c r="BC87" s="156">
        <f>SUM(O83:V87,AI83:AP87,BC83:BJ86)</f>
        <v>0</v>
      </c>
      <c r="BD87" s="533"/>
      <c r="BE87" s="533"/>
      <c r="BF87" s="533"/>
      <c r="BG87" s="533"/>
      <c r="BH87" s="533"/>
      <c r="BI87" s="533"/>
      <c r="BJ87" s="534"/>
    </row>
    <row r="88" spans="2:70" ht="8.1" customHeight="1" x14ac:dyDescent="0.3">
      <c r="B88" s="22"/>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8"/>
      <c r="BG88" s="18"/>
      <c r="BH88" s="18"/>
      <c r="BI88" s="18"/>
      <c r="BJ88" s="23"/>
    </row>
    <row r="89" spans="2:70" ht="18" customHeight="1" x14ac:dyDescent="0.3">
      <c r="B89" s="192" t="str">
        <f>IF(AV78&lt;&gt;"NIL",IF(AND(SIGN(AV74-AV76)&lt;&gt;-1,SIGN(AV78-BC87)&lt;&gt;-1,NOT(AV78=BC87)),"11. Tax Payable  (10 - 9)  :",IF(AND(SIGN(AV74-AV76)&lt;&gt;-1,SIGN(AV78-BC87)=-1),"11. Refundable (10 - 9) u/s 431 :",IF(AND(SIGN(AV74-AV76)=-1,SIGN(AV78-BC87)=-1),"11. Refundable (10 - 9) u/s 431 :",IF(AND(SIGN(AV74-AV76)=-1,SIGN(AV78-BC87)&lt;&gt;-1),"11. Refundable (10 - 9) u/s 431 :",IF((AV78-BC87)=0,"11. Tax Payable  (10 - 9)  :",0))))),IF(BC87&lt;&gt;0, "11. Refundable (10 - 9) u/s 431 :","11. Tax Payable  (10 - 9)  :"))</f>
        <v>11. Tax Payable  (10 - 9)  :</v>
      </c>
      <c r="C89" s="538"/>
      <c r="D89" s="538"/>
      <c r="E89" s="538"/>
      <c r="F89" s="538"/>
      <c r="G89" s="538"/>
      <c r="H89" s="538"/>
      <c r="I89" s="538"/>
      <c r="J89" s="538"/>
      <c r="K89" s="538"/>
      <c r="L89" s="538"/>
      <c r="M89" s="538"/>
      <c r="N89" s="538"/>
      <c r="O89" s="538"/>
      <c r="P89" s="538"/>
      <c r="Q89" s="538"/>
      <c r="R89" s="538"/>
      <c r="S89" s="538"/>
      <c r="T89" s="538"/>
      <c r="U89" s="538"/>
      <c r="V89" s="538"/>
      <c r="W89" s="538"/>
      <c r="X89" s="538"/>
      <c r="Y89" s="538"/>
      <c r="Z89" s="538"/>
      <c r="AA89" s="538"/>
      <c r="AB89" s="538"/>
      <c r="AC89" s="538"/>
      <c r="AD89" s="538"/>
      <c r="AE89" s="538"/>
      <c r="AF89" s="538"/>
      <c r="AG89" s="538"/>
      <c r="AH89" s="538"/>
      <c r="AI89" s="538"/>
      <c r="AJ89" s="538"/>
      <c r="AK89" s="538"/>
      <c r="AL89" s="538"/>
      <c r="AM89" s="538"/>
      <c r="AN89" s="538"/>
      <c r="AO89" s="538"/>
      <c r="AP89" s="538"/>
      <c r="AQ89" s="538"/>
      <c r="AR89" s="538"/>
      <c r="AS89" s="538"/>
      <c r="AT89" s="538"/>
      <c r="AU89" s="25"/>
      <c r="AV89" s="193" t="str">
        <f>IF(AV78&lt;&gt;"NIL",IF(AND(SIGN(AV74-AV76)&lt;&gt;-1,SIGN(AV78-BC87)&lt;&gt;-1,NOT(AV78=BC87)),MROUND(ABS(AV78-BC87),10),IF(AND(SIGN(AV74-AV76)&lt;&gt;-1,SIGN(AV78-BC87)=-1),IF(MROUND(ABS(AV78-BC87),10)=0,"NIL",MROUND(ABS(AV78-BC87),10)),IF(AND(SIGN(AV74-AV76)=-1,SIGN(AV78-BC87)=-1),MROUND(ABS(AV78+BC87),10),IF(AND(SIGN(AV74-AV76)=-1,SIGN(AV78-BC87)&lt;&gt;-1),MROUND(ABS(AV78+BC87),10),IF((AV78-BC87)=0,"NIL",0))))),IF(BC87&lt;&gt;0,MROUND(BC87,10),"NIL"))</f>
        <v>NIL</v>
      </c>
      <c r="AW89" s="524"/>
      <c r="AX89" s="524"/>
      <c r="AY89" s="524"/>
      <c r="AZ89" s="524"/>
      <c r="BA89" s="524"/>
      <c r="BB89" s="524"/>
      <c r="BC89" s="524"/>
      <c r="BD89" s="524"/>
      <c r="BE89" s="524"/>
      <c r="BF89" s="524"/>
      <c r="BG89" s="524"/>
      <c r="BH89" s="524"/>
      <c r="BI89" s="524"/>
      <c r="BJ89" s="525"/>
    </row>
    <row r="90" spans="2:70" ht="8.1" customHeight="1" x14ac:dyDescent="0.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2:70" x14ac:dyDescent="0.3">
      <c r="B91" s="145" t="s">
        <v>99</v>
      </c>
      <c r="C91" s="276"/>
      <c r="D91" s="276"/>
      <c r="E91" s="276"/>
      <c r="F91" s="276"/>
      <c r="G91" s="276"/>
      <c r="H91" s="276"/>
      <c r="I91" s="276"/>
      <c r="J91" s="276"/>
      <c r="K91" s="276"/>
      <c r="L91" s="276"/>
      <c r="M91" s="276"/>
      <c r="N91" s="276"/>
      <c r="O91" s="276"/>
      <c r="P91" s="276"/>
      <c r="Q91" s="276"/>
      <c r="R91" s="276"/>
      <c r="S91" s="276"/>
      <c r="T91" s="276"/>
      <c r="U91" s="276"/>
      <c r="V91" s="276"/>
      <c r="W91" s="276"/>
      <c r="X91" s="276"/>
      <c r="Y91" s="276"/>
      <c r="Z91" s="276"/>
      <c r="AA91" s="276"/>
      <c r="AB91" s="276"/>
      <c r="AC91" s="276"/>
      <c r="AD91" s="276"/>
      <c r="AE91" s="276"/>
      <c r="AF91" s="276"/>
      <c r="AG91" s="276"/>
      <c r="AH91" s="276"/>
      <c r="AI91" s="276"/>
      <c r="AJ91" s="276"/>
      <c r="AK91" s="276"/>
      <c r="AL91" s="276"/>
      <c r="AM91" s="276"/>
      <c r="AN91" s="276"/>
      <c r="AO91" s="276"/>
      <c r="AP91" s="276"/>
      <c r="AQ91" s="276"/>
      <c r="AR91" s="276"/>
      <c r="AS91" s="276"/>
      <c r="AT91" s="276"/>
      <c r="AU91" s="276"/>
      <c r="AV91" s="276"/>
      <c r="AW91" s="276"/>
      <c r="AX91" s="276"/>
      <c r="AY91" s="276"/>
      <c r="AZ91" s="276"/>
      <c r="BA91" s="276"/>
      <c r="BB91" s="276"/>
      <c r="BC91" s="276"/>
      <c r="BD91" s="276"/>
      <c r="BE91" s="276"/>
      <c r="BF91" s="276"/>
      <c r="BG91" s="276"/>
      <c r="BH91" s="276"/>
      <c r="BI91" s="276"/>
      <c r="BJ91" s="277"/>
    </row>
    <row r="92" spans="2:70" ht="8.1" customHeight="1" x14ac:dyDescent="0.3">
      <c r="B92" s="20"/>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J92" s="21"/>
    </row>
    <row r="93" spans="2:70" x14ac:dyDescent="0.3">
      <c r="B93" s="20"/>
      <c r="C93" s="148" t="s">
        <v>53</v>
      </c>
      <c r="D93" s="148"/>
      <c r="E93" s="149" t="str">
        <f>PROPER(L5)</f>
        <v xml:space="preserve"> </v>
      </c>
      <c r="F93" s="150"/>
      <c r="G93" s="150"/>
      <c r="H93" s="150"/>
      <c r="I93" s="150"/>
      <c r="J93" s="150"/>
      <c r="K93" s="150"/>
      <c r="L93" s="150"/>
      <c r="M93" s="150"/>
      <c r="N93" s="150"/>
      <c r="O93" s="150"/>
      <c r="P93" s="150"/>
      <c r="Q93" s="150"/>
      <c r="R93" s="150"/>
      <c r="S93" s="150"/>
      <c r="T93" s="150"/>
      <c r="U93" s="150"/>
      <c r="V93" s="150"/>
      <c r="W93" s="150"/>
      <c r="X93" s="150"/>
      <c r="Y93" s="150"/>
      <c r="Z93" s="148" t="s">
        <v>100</v>
      </c>
      <c r="AA93" s="362"/>
      <c r="AB93" s="362"/>
      <c r="AC93" s="362"/>
      <c r="AD93" s="362"/>
      <c r="AE93" s="362"/>
      <c r="AF93" s="362"/>
      <c r="AG93" s="362"/>
      <c r="AH93" s="362"/>
      <c r="AI93" s="149" t="str">
        <f>IF(ISBLANK('Basic Information'!L8)," ",PROPER('Basic Information'!L8))</f>
        <v xml:space="preserve"> </v>
      </c>
      <c r="AJ93" s="537"/>
      <c r="AK93" s="537"/>
      <c r="AL93" s="537"/>
      <c r="AM93" s="537"/>
      <c r="AN93" s="537"/>
      <c r="AO93" s="537"/>
      <c r="AP93" s="537"/>
      <c r="AQ93" s="537"/>
      <c r="AR93" s="537"/>
      <c r="AS93" s="537"/>
      <c r="AT93" s="537"/>
      <c r="AU93" s="537"/>
      <c r="AV93" s="537"/>
      <c r="AW93" s="537"/>
      <c r="AX93" s="537"/>
      <c r="AY93" s="537"/>
      <c r="AZ93" s="148" t="s">
        <v>101</v>
      </c>
      <c r="BA93" s="148"/>
      <c r="BB93" s="148"/>
      <c r="BC93" s="148"/>
      <c r="BD93" s="148"/>
      <c r="BE93" s="148"/>
      <c r="BF93" s="148"/>
      <c r="BG93" s="148"/>
      <c r="BH93" s="148"/>
      <c r="BI93" s="148"/>
      <c r="BJ93" s="151"/>
    </row>
    <row r="94" spans="2:70" x14ac:dyDescent="0.3">
      <c r="B94" s="20"/>
      <c r="C94" s="148" t="s">
        <v>102</v>
      </c>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c r="AB94" s="148"/>
      <c r="AC94" s="148"/>
      <c r="AD94" s="148"/>
      <c r="AE94" s="148"/>
      <c r="AF94" s="148"/>
      <c r="AG94" s="148"/>
      <c r="AH94" s="148"/>
      <c r="AI94" s="148"/>
      <c r="AJ94" s="148"/>
      <c r="AK94" s="148"/>
      <c r="AL94" s="148"/>
      <c r="AM94" s="148"/>
      <c r="AN94" s="148"/>
      <c r="AO94" s="148"/>
      <c r="AP94" s="148"/>
      <c r="AQ94" s="148"/>
      <c r="AR94" s="148"/>
      <c r="AS94" s="148"/>
      <c r="AT94" s="148"/>
      <c r="AU94" s="148"/>
      <c r="AV94" s="148"/>
      <c r="AW94" s="148"/>
      <c r="AX94" s="148"/>
      <c r="AY94" s="148"/>
      <c r="AZ94" s="148"/>
      <c r="BA94" s="148"/>
      <c r="BB94" s="148"/>
      <c r="BC94" s="148"/>
      <c r="BD94" s="148"/>
      <c r="BE94" s="148"/>
      <c r="BF94" s="148"/>
      <c r="BG94" s="148"/>
      <c r="BH94" s="148"/>
      <c r="BI94" s="148"/>
      <c r="BJ94" s="26"/>
    </row>
    <row r="95" spans="2:70" x14ac:dyDescent="0.3">
      <c r="B95" s="20"/>
      <c r="C95" s="148" t="s">
        <v>233</v>
      </c>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8"/>
      <c r="BC95" s="148"/>
      <c r="BD95" s="148"/>
      <c r="BE95" s="148"/>
      <c r="BF95" s="148"/>
      <c r="BG95" s="148"/>
      <c r="BH95" s="148"/>
      <c r="BI95" s="148"/>
      <c r="BJ95" s="26"/>
    </row>
    <row r="96" spans="2:70" x14ac:dyDescent="0.3">
      <c r="B96" s="20"/>
      <c r="C96" s="148" t="s">
        <v>104</v>
      </c>
      <c r="D96" s="362"/>
      <c r="E96" s="362"/>
      <c r="F96" s="362"/>
      <c r="G96" s="362"/>
      <c r="H96" s="362"/>
      <c r="I96" s="362"/>
      <c r="J96" s="362"/>
      <c r="K96" s="362"/>
      <c r="L96" s="362"/>
      <c r="M96" s="362"/>
      <c r="N96" s="362"/>
      <c r="O96" s="362"/>
      <c r="P96" s="362"/>
      <c r="Q96" s="362"/>
      <c r="R96" s="362"/>
      <c r="S96" s="362"/>
      <c r="T96" s="362"/>
      <c r="U96" s="362"/>
      <c r="V96" s="362"/>
      <c r="W96" s="362"/>
      <c r="X96" s="362"/>
      <c r="Y96" s="149" t="str">
        <f>UPPER(AN5)</f>
        <v xml:space="preserve"> </v>
      </c>
      <c r="Z96" s="537"/>
      <c r="AA96" s="537"/>
      <c r="AB96" s="537"/>
      <c r="AC96" s="537"/>
      <c r="AD96" s="537"/>
      <c r="AE96" s="537"/>
      <c r="AF96" s="537"/>
      <c r="AG96" s="362"/>
      <c r="AH96" s="12" t="s">
        <v>103</v>
      </c>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26"/>
    </row>
    <row r="97" spans="2:62" ht="8.1" customHeight="1" x14ac:dyDescent="0.3">
      <c r="B97" s="20"/>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J97" s="21"/>
    </row>
    <row r="98" spans="2:62" x14ac:dyDescent="0.3">
      <c r="B98" s="20"/>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26"/>
    </row>
    <row r="99" spans="2:62" x14ac:dyDescent="0.3">
      <c r="B99" s="20"/>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48" t="s">
        <v>14</v>
      </c>
      <c r="AG99" s="362"/>
      <c r="AH99" s="362"/>
      <c r="AI99" s="362"/>
      <c r="AJ99" s="362"/>
      <c r="AK99" s="362"/>
      <c r="AL99" s="362"/>
      <c r="AM99" s="362"/>
      <c r="AN99" s="27" t="s">
        <v>5</v>
      </c>
      <c r="AO99" s="12"/>
      <c r="AP99" s="12"/>
      <c r="AQ99" s="12"/>
      <c r="AR99" s="12"/>
      <c r="AS99" s="12"/>
      <c r="AT99" s="12"/>
      <c r="AU99" s="12"/>
      <c r="AV99" s="12"/>
      <c r="AW99" s="12"/>
      <c r="AX99" s="12"/>
      <c r="AY99" s="12"/>
      <c r="AZ99" s="12"/>
      <c r="BA99" s="12"/>
      <c r="BB99" s="12"/>
      <c r="BC99" s="12"/>
      <c r="BD99" s="12"/>
      <c r="BE99" s="12"/>
      <c r="BF99" s="12"/>
      <c r="BG99" s="12"/>
      <c r="BH99" s="12"/>
      <c r="BI99" s="12"/>
      <c r="BJ99" s="26"/>
    </row>
    <row r="100" spans="2:62" ht="8.1" customHeight="1" x14ac:dyDescent="0.3">
      <c r="B100" s="20"/>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J100" s="21"/>
    </row>
    <row r="101" spans="2:62" x14ac:dyDescent="0.3">
      <c r="B101" s="187" t="s">
        <v>11</v>
      </c>
      <c r="C101" s="362"/>
      <c r="D101" s="362"/>
      <c r="E101" s="362"/>
      <c r="F101" s="362"/>
      <c r="G101" s="27" t="s">
        <v>5</v>
      </c>
      <c r="H101" s="150" t="str">
        <f>IF(ISBLANK('Basic Information'!H29)," ",PROPER('Basic Information'!H29))</f>
        <v xml:space="preserve"> </v>
      </c>
      <c r="I101" s="321"/>
      <c r="J101" s="321"/>
      <c r="K101" s="321"/>
      <c r="L101" s="321"/>
      <c r="M101" s="321"/>
      <c r="N101" s="321"/>
      <c r="O101" s="321"/>
      <c r="P101" s="321"/>
      <c r="Q101" s="321"/>
      <c r="R101" s="321"/>
      <c r="S101" s="321"/>
      <c r="T101" s="321"/>
      <c r="U101" s="321"/>
      <c r="V101" s="321"/>
      <c r="W101" s="321"/>
      <c r="X101" s="321"/>
      <c r="Y101" s="321"/>
      <c r="Z101" s="12"/>
      <c r="AA101" s="12"/>
      <c r="AB101" s="12"/>
      <c r="AC101" s="12"/>
      <c r="AD101" s="12"/>
      <c r="AE101" s="12"/>
      <c r="AF101" s="148" t="s">
        <v>13</v>
      </c>
      <c r="AG101" s="362"/>
      <c r="AH101" s="362"/>
      <c r="AI101" s="362"/>
      <c r="AJ101" s="362"/>
      <c r="AK101" s="362"/>
      <c r="AL101" s="362"/>
      <c r="AM101" s="362"/>
      <c r="AN101" s="27" t="s">
        <v>5</v>
      </c>
      <c r="AO101" s="540" t="str">
        <f>PROPER(L5)</f>
        <v xml:space="preserve"> </v>
      </c>
      <c r="AP101" s="541"/>
      <c r="AQ101" s="541"/>
      <c r="AR101" s="541"/>
      <c r="AS101" s="541"/>
      <c r="AT101" s="541"/>
      <c r="AU101" s="541"/>
      <c r="AV101" s="541"/>
      <c r="AW101" s="541"/>
      <c r="AX101" s="541"/>
      <c r="AY101" s="541"/>
      <c r="AZ101" s="541"/>
      <c r="BA101" s="541"/>
      <c r="BB101" s="541"/>
      <c r="BC101" s="541"/>
      <c r="BD101" s="541"/>
      <c r="BE101" s="541"/>
      <c r="BF101" s="541"/>
      <c r="BG101" s="541"/>
      <c r="BH101" s="541"/>
      <c r="BI101" s="541"/>
      <c r="BJ101" s="21"/>
    </row>
    <row r="102" spans="2:62" ht="8.1" customHeight="1" x14ac:dyDescent="0.3">
      <c r="B102" s="20"/>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J102" s="21"/>
    </row>
    <row r="103" spans="2:62" x14ac:dyDescent="0.3">
      <c r="B103" s="187" t="s">
        <v>12</v>
      </c>
      <c r="C103" s="362"/>
      <c r="D103" s="362"/>
      <c r="E103" s="362"/>
      <c r="F103" s="362"/>
      <c r="G103" s="27" t="s">
        <v>5</v>
      </c>
      <c r="H103" s="150" t="str">
        <f>IF(ISBLANK('Basic Information'!H31)," ",'Basic Information'!H31)</f>
        <v xml:space="preserve"> </v>
      </c>
      <c r="I103" s="321"/>
      <c r="J103" s="321"/>
      <c r="K103" s="321"/>
      <c r="L103" s="321"/>
      <c r="M103" s="321"/>
      <c r="N103" s="321"/>
      <c r="O103" s="321"/>
      <c r="P103" s="321"/>
      <c r="Q103" s="321"/>
      <c r="R103" s="321"/>
      <c r="S103" s="321"/>
      <c r="T103" s="12"/>
      <c r="U103" s="12"/>
      <c r="V103" s="12"/>
      <c r="W103" s="12"/>
      <c r="X103" s="12"/>
      <c r="Y103" s="12"/>
      <c r="Z103" s="12"/>
      <c r="AA103" s="12"/>
      <c r="AB103" s="12"/>
      <c r="AC103" s="12"/>
      <c r="AD103" s="12"/>
      <c r="AE103" s="12"/>
      <c r="AF103" s="148" t="s">
        <v>15</v>
      </c>
      <c r="AG103" s="362"/>
      <c r="AH103" s="362"/>
      <c r="AI103" s="362"/>
      <c r="AJ103" s="362"/>
      <c r="AK103" s="362"/>
      <c r="AL103" s="362"/>
      <c r="AM103" s="362"/>
      <c r="AN103" s="27" t="s">
        <v>5</v>
      </c>
      <c r="AO103" s="540" t="str">
        <f>PROPER(L7)</f>
        <v xml:space="preserve"> </v>
      </c>
      <c r="AP103" s="541"/>
      <c r="AQ103" s="541"/>
      <c r="AR103" s="541"/>
      <c r="AS103" s="541"/>
      <c r="AT103" s="541"/>
      <c r="AU103" s="541"/>
      <c r="AV103" s="541"/>
      <c r="AW103" s="541"/>
      <c r="AX103" s="541"/>
      <c r="AY103" s="541"/>
      <c r="AZ103" s="541"/>
      <c r="BA103" s="541"/>
      <c r="BB103" s="541"/>
      <c r="BC103" s="541"/>
      <c r="BD103" s="541"/>
      <c r="BE103" s="541"/>
      <c r="BF103" s="541"/>
      <c r="BG103" s="541"/>
      <c r="BH103" s="541"/>
      <c r="BI103" s="541"/>
      <c r="BJ103" s="21"/>
    </row>
    <row r="104" spans="2:62" ht="8.1" customHeight="1" x14ac:dyDescent="0.3">
      <c r="B104" s="20"/>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J104" s="21"/>
    </row>
    <row r="105" spans="2:62" x14ac:dyDescent="0.3">
      <c r="B105" s="20"/>
      <c r="C105" s="12"/>
      <c r="D105" s="12"/>
      <c r="E105" s="12"/>
      <c r="F105" s="12"/>
      <c r="G105" s="12"/>
      <c r="H105" s="12"/>
      <c r="I105" s="12"/>
      <c r="J105" s="12"/>
      <c r="K105" s="12"/>
      <c r="L105" s="12"/>
      <c r="M105" s="12"/>
      <c r="N105" s="12"/>
      <c r="O105" s="12"/>
      <c r="P105" s="12"/>
      <c r="Q105" s="12"/>
      <c r="R105" s="12"/>
      <c r="S105" s="12"/>
      <c r="T105" s="12"/>
      <c r="U105" s="12"/>
      <c r="V105" s="12"/>
      <c r="W105" s="12"/>
      <c r="X105" s="148" t="s">
        <v>6</v>
      </c>
      <c r="Y105" s="362"/>
      <c r="Z105" s="362"/>
      <c r="AA105" s="362"/>
      <c r="AB105" s="362"/>
      <c r="AC105" s="362"/>
      <c r="AD105" s="362"/>
      <c r="AE105" s="362"/>
      <c r="AF105" s="362"/>
      <c r="AG105" s="362"/>
      <c r="AH105" s="362"/>
      <c r="AI105" s="362"/>
      <c r="AJ105" s="362"/>
      <c r="AK105" s="12"/>
      <c r="AL105" s="12"/>
      <c r="AM105" s="12"/>
      <c r="AN105" s="12"/>
      <c r="AO105" s="12"/>
      <c r="AP105" s="12"/>
      <c r="AQ105" s="12"/>
      <c r="AR105" s="12"/>
      <c r="AS105" s="12"/>
      <c r="AT105" s="12"/>
      <c r="AU105" s="12"/>
      <c r="AV105" s="12"/>
      <c r="AW105" s="12"/>
      <c r="AX105" s="12"/>
      <c r="AY105" s="12"/>
      <c r="AZ105" s="12"/>
      <c r="BA105" s="12"/>
      <c r="BB105" s="12"/>
      <c r="BC105" s="12"/>
      <c r="BD105" s="12"/>
      <c r="BE105" s="12"/>
      <c r="BJ105" s="21"/>
    </row>
    <row r="106" spans="2:62" x14ac:dyDescent="0.3">
      <c r="B106" s="20"/>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J106" s="21"/>
    </row>
    <row r="107" spans="2:62" ht="8.1" customHeight="1" x14ac:dyDescent="0.3">
      <c r="B107" s="20"/>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07" t="str">
        <f>IF(ISTEXT('Basic Information'!AG27),PROPER('Basic Information'!AG27),"")</f>
        <v/>
      </c>
      <c r="AP107" s="108"/>
      <c r="AQ107" s="108"/>
      <c r="AR107" s="108"/>
      <c r="AS107" s="108"/>
      <c r="AT107" s="108"/>
      <c r="AU107" s="108"/>
      <c r="AV107" s="108"/>
      <c r="AW107" s="108"/>
      <c r="AX107" s="108"/>
      <c r="AY107" s="108"/>
      <c r="AZ107" s="108"/>
      <c r="BA107" s="108"/>
      <c r="BB107" s="108"/>
      <c r="BC107" s="108"/>
      <c r="BD107" s="108"/>
      <c r="BE107" s="108"/>
      <c r="BF107" s="108"/>
      <c r="BG107" s="108"/>
      <c r="BH107" s="108"/>
      <c r="BI107" s="108"/>
      <c r="BJ107" s="21"/>
    </row>
    <row r="108" spans="2:62" x14ac:dyDescent="0.3">
      <c r="B108" s="20"/>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08"/>
      <c r="AP108" s="108"/>
      <c r="AQ108" s="108"/>
      <c r="AR108" s="108"/>
      <c r="AS108" s="108"/>
      <c r="AT108" s="108"/>
      <c r="AU108" s="108"/>
      <c r="AV108" s="108"/>
      <c r="AW108" s="108"/>
      <c r="AX108" s="108"/>
      <c r="AY108" s="108"/>
      <c r="AZ108" s="108"/>
      <c r="BA108" s="108"/>
      <c r="BB108" s="108"/>
      <c r="BC108" s="108"/>
      <c r="BD108" s="108"/>
      <c r="BE108" s="108"/>
      <c r="BF108" s="108"/>
      <c r="BG108" s="108"/>
      <c r="BH108" s="108"/>
      <c r="BI108" s="108"/>
      <c r="BJ108" s="21"/>
    </row>
    <row r="109" spans="2:62" ht="14.25" customHeight="1" x14ac:dyDescent="0.3">
      <c r="B109" s="20"/>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308" t="str">
        <f>IF(ISBLANK('Basic Information'!V3),"",PROPER('Basic Information'!V3))</f>
        <v/>
      </c>
      <c r="AP109" s="115"/>
      <c r="AQ109" s="115"/>
      <c r="AR109" s="115"/>
      <c r="AS109" s="115"/>
      <c r="AT109" s="115"/>
      <c r="AU109" s="115"/>
      <c r="AV109" s="115"/>
      <c r="AW109" s="115"/>
      <c r="AX109" s="115"/>
      <c r="AY109" s="115"/>
      <c r="AZ109" s="115"/>
      <c r="BA109" s="115"/>
      <c r="BB109" s="115"/>
      <c r="BC109" s="115"/>
      <c r="BD109" s="115"/>
      <c r="BE109" s="115"/>
      <c r="BF109" s="115"/>
      <c r="BG109" s="115"/>
      <c r="BH109" s="115"/>
      <c r="BI109" s="115"/>
      <c r="BJ109" s="21"/>
    </row>
    <row r="110" spans="2:62" ht="20.25" customHeight="1" x14ac:dyDescent="0.3">
      <c r="B110" s="22"/>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539"/>
      <c r="AP110" s="539"/>
      <c r="AQ110" s="539"/>
      <c r="AR110" s="539"/>
      <c r="AS110" s="539"/>
      <c r="AT110" s="539"/>
      <c r="AU110" s="539"/>
      <c r="AV110" s="539"/>
      <c r="AW110" s="539"/>
      <c r="AX110" s="539"/>
      <c r="AY110" s="539"/>
      <c r="AZ110" s="539"/>
      <c r="BA110" s="539"/>
      <c r="BB110" s="539"/>
      <c r="BC110" s="539"/>
      <c r="BD110" s="539"/>
      <c r="BE110" s="539"/>
      <c r="BF110" s="539"/>
      <c r="BG110" s="539"/>
      <c r="BH110" s="539"/>
      <c r="BI110" s="539"/>
      <c r="BJ110" s="23"/>
    </row>
    <row r="111" spans="2:62" x14ac:dyDescent="0.3">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row>
    <row r="112" spans="2:62" x14ac:dyDescent="0.3">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row>
    <row r="113" spans="2:57" x14ac:dyDescent="0.3">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row>
    <row r="114" spans="2:57" x14ac:dyDescent="0.3">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row>
    <row r="115" spans="2:57" x14ac:dyDescent="0.3">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row>
    <row r="116" spans="2:57" x14ac:dyDescent="0.3">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row>
    <row r="117" spans="2:57" x14ac:dyDescent="0.3">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row>
    <row r="118" spans="2:57" x14ac:dyDescent="0.3">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row>
    <row r="119" spans="2:57" x14ac:dyDescent="0.3">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row>
    <row r="120" spans="2:57" x14ac:dyDescent="0.3">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row>
    <row r="121" spans="2:57" x14ac:dyDescent="0.3">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row>
    <row r="122" spans="2:57" x14ac:dyDescent="0.3">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row>
    <row r="123" spans="2:57" x14ac:dyDescent="0.3">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row>
    <row r="124" spans="2:57" x14ac:dyDescent="0.3">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row>
    <row r="125" spans="2:57" x14ac:dyDescent="0.3">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row>
    <row r="126" spans="2:57" x14ac:dyDescent="0.3">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row>
    <row r="127" spans="2:57" x14ac:dyDescent="0.3">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row>
    <row r="128" spans="2:57" x14ac:dyDescent="0.3">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row>
    <row r="129" spans="2:57" x14ac:dyDescent="0.3">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row>
    <row r="130" spans="2:57" x14ac:dyDescent="0.3">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row>
    <row r="131" spans="2:57" x14ac:dyDescent="0.3">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row>
    <row r="132" spans="2:57" x14ac:dyDescent="0.3">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row>
    <row r="133" spans="2:57" x14ac:dyDescent="0.3">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row>
    <row r="134" spans="2:57" x14ac:dyDescent="0.3">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row>
    <row r="135" spans="2:57" x14ac:dyDescent="0.3">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row>
    <row r="136" spans="2:57" x14ac:dyDescent="0.3">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row>
    <row r="137" spans="2:57" x14ac:dyDescent="0.3">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row>
    <row r="138" spans="2:57" x14ac:dyDescent="0.3">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row>
    <row r="139" spans="2:57" x14ac:dyDescent="0.3">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row>
    <row r="140" spans="2:57" x14ac:dyDescent="0.3">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row>
    <row r="141" spans="2:57" x14ac:dyDescent="0.3">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row>
    <row r="142" spans="2:57" x14ac:dyDescent="0.3">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row>
    <row r="143" spans="2:57" x14ac:dyDescent="0.3">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row>
    <row r="144" spans="2:57" x14ac:dyDescent="0.3">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row>
    <row r="145" spans="2:57" x14ac:dyDescent="0.3">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row>
    <row r="146" spans="2:57" x14ac:dyDescent="0.3">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row>
    <row r="147" spans="2:57" x14ac:dyDescent="0.3">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row>
    <row r="148" spans="2:57" x14ac:dyDescent="0.3">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row>
    <row r="149" spans="2:57" x14ac:dyDescent="0.3">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row>
    <row r="150" spans="2:57" x14ac:dyDescent="0.3">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row>
    <row r="151" spans="2:57" x14ac:dyDescent="0.3">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row>
    <row r="152" spans="2:57" x14ac:dyDescent="0.3">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row>
    <row r="153" spans="2:57" x14ac:dyDescent="0.3">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row>
    <row r="154" spans="2:57" x14ac:dyDescent="0.3">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row>
    <row r="155" spans="2:57" x14ac:dyDescent="0.3">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row>
    <row r="156" spans="2:57" x14ac:dyDescent="0.3">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row>
    <row r="157" spans="2:57" x14ac:dyDescent="0.3">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row>
    <row r="158" spans="2:57" x14ac:dyDescent="0.3">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row>
    <row r="159" spans="2:57" x14ac:dyDescent="0.3">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row>
    <row r="160" spans="2:57" x14ac:dyDescent="0.3">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row>
    <row r="161" spans="2:57" x14ac:dyDescent="0.3">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row>
    <row r="162" spans="2:57" x14ac:dyDescent="0.3">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row>
    <row r="163" spans="2:57" x14ac:dyDescent="0.3">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row>
    <row r="164" spans="2:57" x14ac:dyDescent="0.3">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row>
    <row r="165" spans="2:57" x14ac:dyDescent="0.3">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row>
    <row r="166" spans="2:57" x14ac:dyDescent="0.3">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row>
    <row r="167" spans="2:57" x14ac:dyDescent="0.3">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row>
    <row r="168" spans="2:57" x14ac:dyDescent="0.3">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row>
    <row r="169" spans="2:57" x14ac:dyDescent="0.3">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row>
    <row r="170" spans="2:57" x14ac:dyDescent="0.3">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row>
    <row r="171" spans="2:57" x14ac:dyDescent="0.3">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row>
    <row r="172" spans="2:57" x14ac:dyDescent="0.3">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row>
    <row r="173" spans="2:57" x14ac:dyDescent="0.3">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row>
    <row r="174" spans="2:57" x14ac:dyDescent="0.3">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row>
    <row r="175" spans="2:57" x14ac:dyDescent="0.3">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row>
    <row r="176" spans="2:57" x14ac:dyDescent="0.3">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row>
    <row r="177" spans="2:57" x14ac:dyDescent="0.3">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row>
    <row r="178" spans="2:57" x14ac:dyDescent="0.3">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row>
    <row r="179" spans="2:57" x14ac:dyDescent="0.3">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row>
    <row r="180" spans="2:57" x14ac:dyDescent="0.3">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row>
    <row r="181" spans="2:57" x14ac:dyDescent="0.3">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row>
    <row r="182" spans="2:57" x14ac:dyDescent="0.3">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row>
    <row r="183" spans="2:57" x14ac:dyDescent="0.3">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row>
    <row r="184" spans="2:57" x14ac:dyDescent="0.3">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row>
    <row r="185" spans="2:57" x14ac:dyDescent="0.3">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row>
    <row r="186" spans="2:57" x14ac:dyDescent="0.3">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row>
    <row r="187" spans="2:57" x14ac:dyDescent="0.3">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row>
    <row r="188" spans="2:57" x14ac:dyDescent="0.3">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row>
    <row r="189" spans="2:57" x14ac:dyDescent="0.3">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row>
    <row r="190" spans="2:57" x14ac:dyDescent="0.3">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row>
    <row r="191" spans="2:57" x14ac:dyDescent="0.3">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row>
    <row r="192" spans="2:57" x14ac:dyDescent="0.3">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row>
    <row r="193" spans="2:57" x14ac:dyDescent="0.3">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row>
    <row r="194" spans="2:57" x14ac:dyDescent="0.3">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row>
    <row r="195" spans="2:57" x14ac:dyDescent="0.3">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row>
    <row r="196" spans="2:57" x14ac:dyDescent="0.3">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row>
    <row r="197" spans="2:57" x14ac:dyDescent="0.3">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row>
    <row r="198" spans="2:57" x14ac:dyDescent="0.3">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row>
    <row r="199" spans="2:57" x14ac:dyDescent="0.3">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row>
    <row r="200" spans="2:57" x14ac:dyDescent="0.3">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row>
    <row r="201" spans="2:57" x14ac:dyDescent="0.3">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row>
    <row r="202" spans="2:57" x14ac:dyDescent="0.3">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row>
    <row r="203" spans="2:57" x14ac:dyDescent="0.3">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row>
    <row r="204" spans="2:57" x14ac:dyDescent="0.3">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row>
    <row r="205" spans="2:57" x14ac:dyDescent="0.3">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row>
    <row r="206" spans="2:57" x14ac:dyDescent="0.3">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row>
    <row r="207" spans="2:57" x14ac:dyDescent="0.3">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row>
    <row r="208" spans="2:57" x14ac:dyDescent="0.3">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row>
    <row r="209" spans="2:57" x14ac:dyDescent="0.3">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row>
    <row r="210" spans="2:57" x14ac:dyDescent="0.3">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row>
    <row r="211" spans="2:57" x14ac:dyDescent="0.3">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row>
    <row r="212" spans="2:57" x14ac:dyDescent="0.3">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row>
    <row r="213" spans="2:57" x14ac:dyDescent="0.3">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row>
    <row r="214" spans="2:57" x14ac:dyDescent="0.3">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row>
    <row r="215" spans="2:57" x14ac:dyDescent="0.3">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row>
    <row r="216" spans="2:57" x14ac:dyDescent="0.3">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row>
    <row r="217" spans="2:57" x14ac:dyDescent="0.3">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row>
    <row r="218" spans="2:57" x14ac:dyDescent="0.3">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row>
    <row r="219" spans="2:57" x14ac:dyDescent="0.3">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row>
    <row r="220" spans="2:57" x14ac:dyDescent="0.3">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row>
    <row r="221" spans="2:57" x14ac:dyDescent="0.3">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row>
    <row r="222" spans="2:57" x14ac:dyDescent="0.3">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row>
    <row r="223" spans="2:57" x14ac:dyDescent="0.3">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row>
    <row r="224" spans="2:57" x14ac:dyDescent="0.3">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row>
    <row r="225" spans="2:57" x14ac:dyDescent="0.3">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row>
    <row r="226" spans="2:57" x14ac:dyDescent="0.3">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row>
    <row r="227" spans="2:57" x14ac:dyDescent="0.3">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row>
    <row r="228" spans="2:57" x14ac:dyDescent="0.3">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row>
    <row r="229" spans="2:57" x14ac:dyDescent="0.3">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row>
    <row r="230" spans="2:57" x14ac:dyDescent="0.3">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row>
    <row r="231" spans="2:57" x14ac:dyDescent="0.3">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row>
    <row r="232" spans="2:57" x14ac:dyDescent="0.3">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row>
    <row r="233" spans="2:57" x14ac:dyDescent="0.3">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row>
  </sheetData>
  <sheetProtection algorithmName="SHA-512" hashValue="96OXay4f4Ux693g476oRKOWKC6sWRh9e05+f3KToqZW+m8VeWul8+DpD40TJnkQF1RCQagiYrPKgjdT/Hhv0pg==" saltValue="IPJDLboe6Rd9AGff7N3lgA==" spinCount="100000" sheet="1" objects="1" scenarios="1" selectLockedCells="1"/>
  <mergeCells count="244">
    <mergeCell ref="BP62:BW63"/>
    <mergeCell ref="AO109:BI110"/>
    <mergeCell ref="B103:F103"/>
    <mergeCell ref="H103:S103"/>
    <mergeCell ref="AF103:AM103"/>
    <mergeCell ref="AO103:BI103"/>
    <mergeCell ref="X105:AJ105"/>
    <mergeCell ref="C94:BI94"/>
    <mergeCell ref="C95:BI95"/>
    <mergeCell ref="C96:X96"/>
    <mergeCell ref="Y96:AG96"/>
    <mergeCell ref="AF99:AM99"/>
    <mergeCell ref="B101:F101"/>
    <mergeCell ref="AF101:AM101"/>
    <mergeCell ref="AO101:BI101"/>
    <mergeCell ref="H101:Y101"/>
    <mergeCell ref="AO107:BI108"/>
    <mergeCell ref="C93:D93"/>
    <mergeCell ref="E93:Y93"/>
    <mergeCell ref="Z93:AH93"/>
    <mergeCell ref="O87:V87"/>
    <mergeCell ref="W87:AD87"/>
    <mergeCell ref="AE87:AH87"/>
    <mergeCell ref="AI87:AP87"/>
    <mergeCell ref="AQ87:BB87"/>
    <mergeCell ref="BC87:BJ87"/>
    <mergeCell ref="AI93:AY93"/>
    <mergeCell ref="AZ93:BJ93"/>
    <mergeCell ref="B91:BJ91"/>
    <mergeCell ref="B89:AT89"/>
    <mergeCell ref="AV89:BJ89"/>
    <mergeCell ref="C87:J87"/>
    <mergeCell ref="K87:N87"/>
    <mergeCell ref="AE85:AH85"/>
    <mergeCell ref="AI85:AP85"/>
    <mergeCell ref="AQ85:BB85"/>
    <mergeCell ref="BC85:BJ85"/>
    <mergeCell ref="C86:J86"/>
    <mergeCell ref="K86:N86"/>
    <mergeCell ref="O86:V86"/>
    <mergeCell ref="W86:AD86"/>
    <mergeCell ref="AE86:AH86"/>
    <mergeCell ref="AI86:AP86"/>
    <mergeCell ref="C85:J85"/>
    <mergeCell ref="K85:N85"/>
    <mergeCell ref="O85:V85"/>
    <mergeCell ref="W85:AD85"/>
    <mergeCell ref="AQ86:BB86"/>
    <mergeCell ref="BC86:BJ86"/>
    <mergeCell ref="AV68:BJ68"/>
    <mergeCell ref="C70:AT70"/>
    <mergeCell ref="AV70:BJ70"/>
    <mergeCell ref="AQ83:AX83"/>
    <mergeCell ref="AY83:BB83"/>
    <mergeCell ref="BC83:BJ83"/>
    <mergeCell ref="C84:J84"/>
    <mergeCell ref="K84:N84"/>
    <mergeCell ref="O84:V84"/>
    <mergeCell ref="W84:AD84"/>
    <mergeCell ref="AE84:AH84"/>
    <mergeCell ref="AI84:AP84"/>
    <mergeCell ref="AQ84:AX84"/>
    <mergeCell ref="C83:J83"/>
    <mergeCell ref="AY84:BB84"/>
    <mergeCell ref="BC84:BJ84"/>
    <mergeCell ref="K83:N83"/>
    <mergeCell ref="O83:V83"/>
    <mergeCell ref="W83:AD83"/>
    <mergeCell ref="AE83:AH83"/>
    <mergeCell ref="AI83:AP83"/>
    <mergeCell ref="B54:AT54"/>
    <mergeCell ref="AV54:BJ54"/>
    <mergeCell ref="B42:AT42"/>
    <mergeCell ref="AV42:BJ42"/>
    <mergeCell ref="B44:AT44"/>
    <mergeCell ref="B78:AT78"/>
    <mergeCell ref="AV78:BJ78"/>
    <mergeCell ref="B80:BJ80"/>
    <mergeCell ref="C82:N82"/>
    <mergeCell ref="O82:V82"/>
    <mergeCell ref="W82:AH82"/>
    <mergeCell ref="AI82:AP82"/>
    <mergeCell ref="AQ82:BB82"/>
    <mergeCell ref="BC82:BJ82"/>
    <mergeCell ref="C72:AT72"/>
    <mergeCell ref="AV72:BJ72"/>
    <mergeCell ref="C74:AT74"/>
    <mergeCell ref="AV74:BJ74"/>
    <mergeCell ref="C76:AT76"/>
    <mergeCell ref="AV76:BJ76"/>
    <mergeCell ref="B64:BJ64"/>
    <mergeCell ref="C66:AT66"/>
    <mergeCell ref="AV66:BJ66"/>
    <mergeCell ref="C68:AT68"/>
    <mergeCell ref="B62:AT62"/>
    <mergeCell ref="AV62:BJ62"/>
    <mergeCell ref="B56:AI56"/>
    <mergeCell ref="AJ56:AS56"/>
    <mergeCell ref="AT56:AU56"/>
    <mergeCell ref="AV56:BJ56"/>
    <mergeCell ref="C58:AH58"/>
    <mergeCell ref="AJ58:AS58"/>
    <mergeCell ref="AT58:AU58"/>
    <mergeCell ref="AV58:BJ58"/>
    <mergeCell ref="C60:AH60"/>
    <mergeCell ref="AJ60:AS60"/>
    <mergeCell ref="AT60:AU60"/>
    <mergeCell ref="AV60:BJ60"/>
    <mergeCell ref="C46:AT46"/>
    <mergeCell ref="AV46:BJ46"/>
    <mergeCell ref="C48:AT48"/>
    <mergeCell ref="AV48:BJ48"/>
    <mergeCell ref="C52:AT52"/>
    <mergeCell ref="AV52:BJ52"/>
    <mergeCell ref="C50:AT50"/>
    <mergeCell ref="AV50:BJ50"/>
    <mergeCell ref="BA26:BJ26"/>
    <mergeCell ref="C28:T28"/>
    <mergeCell ref="AQ34:BA34"/>
    <mergeCell ref="BC34:BJ34"/>
    <mergeCell ref="BA28:BJ28"/>
    <mergeCell ref="BA30:BJ30"/>
    <mergeCell ref="B36:AT36"/>
    <mergeCell ref="AV36:BJ36"/>
    <mergeCell ref="B38:AT38"/>
    <mergeCell ref="C40:AT40"/>
    <mergeCell ref="AV40:BJ40"/>
    <mergeCell ref="C34:L34"/>
    <mergeCell ref="N34:U34"/>
    <mergeCell ref="W34:AF34"/>
    <mergeCell ref="AH34:AO34"/>
    <mergeCell ref="C26:T26"/>
    <mergeCell ref="AF28:AG28"/>
    <mergeCell ref="AH28:AY28"/>
    <mergeCell ref="AH30:AY30"/>
    <mergeCell ref="B32:AG32"/>
    <mergeCell ref="K23:Q23"/>
    <mergeCell ref="R23:X23"/>
    <mergeCell ref="Y23:AE23"/>
    <mergeCell ref="AF23:AL23"/>
    <mergeCell ref="AF26:AG26"/>
    <mergeCell ref="AH26:AY26"/>
    <mergeCell ref="C30:T30"/>
    <mergeCell ref="V30:AE30"/>
    <mergeCell ref="B23:G23"/>
    <mergeCell ref="B24:J24"/>
    <mergeCell ref="K24:Q24"/>
    <mergeCell ref="R24:X24"/>
    <mergeCell ref="Y24:AE24"/>
    <mergeCell ref="AF24:AL24"/>
    <mergeCell ref="BR14:BV14"/>
    <mergeCell ref="B12:G12"/>
    <mergeCell ref="H12:J12"/>
    <mergeCell ref="K12:Q12"/>
    <mergeCell ref="R12:X12"/>
    <mergeCell ref="Y12:AE12"/>
    <mergeCell ref="AF12:AL12"/>
    <mergeCell ref="K20:Q20"/>
    <mergeCell ref="B18:G18"/>
    <mergeCell ref="H18:J18"/>
    <mergeCell ref="K18:Q18"/>
    <mergeCell ref="R18:X18"/>
    <mergeCell ref="Y18:AE18"/>
    <mergeCell ref="AF18:AL18"/>
    <mergeCell ref="R20:X20"/>
    <mergeCell ref="Y20:AE20"/>
    <mergeCell ref="AF20:AL20"/>
    <mergeCell ref="B20:G20"/>
    <mergeCell ref="H20:J20"/>
    <mergeCell ref="Y15:AE15"/>
    <mergeCell ref="AF15:AL15"/>
    <mergeCell ref="B14:G14"/>
    <mergeCell ref="H14:J14"/>
    <mergeCell ref="B1:BJ1"/>
    <mergeCell ref="B2:BJ2"/>
    <mergeCell ref="H13:J13"/>
    <mergeCell ref="K13:Q13"/>
    <mergeCell ref="R13:X13"/>
    <mergeCell ref="Y13:AE13"/>
    <mergeCell ref="AF13:AL13"/>
    <mergeCell ref="B11:J11"/>
    <mergeCell ref="K11:Q11"/>
    <mergeCell ref="R11:X11"/>
    <mergeCell ref="Y11:AE11"/>
    <mergeCell ref="AF11:AL11"/>
    <mergeCell ref="B9:AH9"/>
    <mergeCell ref="BQ2:BU3"/>
    <mergeCell ref="B3:BJ3"/>
    <mergeCell ref="BQ4:BU5"/>
    <mergeCell ref="B5:J5"/>
    <mergeCell ref="L5:AE5"/>
    <mergeCell ref="AG5:AL5"/>
    <mergeCell ref="AN5:BE5"/>
    <mergeCell ref="B7:J7"/>
    <mergeCell ref="L7:AE7"/>
    <mergeCell ref="BR6:BU7"/>
    <mergeCell ref="BQ8:BU9"/>
    <mergeCell ref="BQ10:BV11"/>
    <mergeCell ref="BQ12:BV13"/>
    <mergeCell ref="B15:G15"/>
    <mergeCell ref="H15:J15"/>
    <mergeCell ref="K15:Q15"/>
    <mergeCell ref="R15:X15"/>
    <mergeCell ref="AF17:AL17"/>
    <mergeCell ref="B16:G16"/>
    <mergeCell ref="H16:J16"/>
    <mergeCell ref="K16:Q16"/>
    <mergeCell ref="R16:X16"/>
    <mergeCell ref="Y16:AE16"/>
    <mergeCell ref="AF16:AL16"/>
    <mergeCell ref="B17:G17"/>
    <mergeCell ref="H17:J17"/>
    <mergeCell ref="K17:Q17"/>
    <mergeCell ref="R17:X17"/>
    <mergeCell ref="Y17:AE17"/>
    <mergeCell ref="K14:Q14"/>
    <mergeCell ref="R14:X14"/>
    <mergeCell ref="Y14:AE14"/>
    <mergeCell ref="AF14:AL14"/>
    <mergeCell ref="B13:G13"/>
    <mergeCell ref="BP67:BV69"/>
    <mergeCell ref="BL57:BV59"/>
    <mergeCell ref="BQ16:BV19"/>
    <mergeCell ref="B19:G19"/>
    <mergeCell ref="H19:J19"/>
    <mergeCell ref="K19:Q19"/>
    <mergeCell ref="R19:X19"/>
    <mergeCell ref="Y19:AE19"/>
    <mergeCell ref="AF19:AL19"/>
    <mergeCell ref="B22:G22"/>
    <mergeCell ref="H22:J22"/>
    <mergeCell ref="K22:Q22"/>
    <mergeCell ref="R22:X22"/>
    <mergeCell ref="Y22:AE22"/>
    <mergeCell ref="AF22:AL22"/>
    <mergeCell ref="B21:G21"/>
    <mergeCell ref="H21:J21"/>
    <mergeCell ref="K21:Q21"/>
    <mergeCell ref="R21:X21"/>
    <mergeCell ref="Y21:AE21"/>
    <mergeCell ref="AF21:AL21"/>
    <mergeCell ref="H23:J23"/>
    <mergeCell ref="V26:AE26"/>
    <mergeCell ref="V28:AE28"/>
  </mergeCells>
  <dataValidations count="1">
    <dataValidation type="whole" operator="greaterThan" allowBlank="1" showInputMessage="1" showErrorMessage="1" errorTitle="Earned Leave Surrender" error="Please enter a valid amount." promptTitle="Earned Leave Surrender" prompt="Please enter the Earned Leave Surrender amount." sqref="N26:T26" xr:uid="{32D4C389-8E9D-450F-8327-B8AB748F0544}">
      <formula1>1</formula1>
    </dataValidation>
  </dataValidations>
  <pageMargins left="0.39370078740157483" right="0" top="0.31496062992125984" bottom="0.31496062992125984" header="0" footer="0"/>
  <pageSetup paperSize="9" orientation="portrait" blackAndWhite="1" errors="blank" r:id="rId1"/>
  <headerFooter>
    <oddFooter>&amp;CPage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40278-62FB-4B50-AA2E-DD9B6CBAD701}">
  <dimension ref="B2:BA104"/>
  <sheetViews>
    <sheetView showGridLines="0" showRowColHeaders="0" zoomScaleNormal="100" workbookViewId="0">
      <selection activeCell="AP1" sqref="AP1"/>
    </sheetView>
  </sheetViews>
  <sheetFormatPr defaultRowHeight="14.4" x14ac:dyDescent="0.3"/>
  <cols>
    <col min="1" max="1" width="5" customWidth="1"/>
    <col min="2" max="42" width="2.109375" customWidth="1"/>
  </cols>
  <sheetData>
    <row r="2" spans="2:50" ht="18" customHeight="1" x14ac:dyDescent="0.3">
      <c r="B2" s="345" t="s">
        <v>74</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58"/>
      <c r="AP2" s="58"/>
      <c r="AR2" s="289" t="s">
        <v>143</v>
      </c>
      <c r="AS2" s="289"/>
      <c r="AT2" s="289"/>
      <c r="AU2" s="289"/>
      <c r="AV2" s="289"/>
      <c r="AW2" s="289"/>
    </row>
    <row r="3" spans="2:50" ht="15" customHeight="1" x14ac:dyDescent="0.3">
      <c r="B3" s="346" t="s">
        <v>39</v>
      </c>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60"/>
      <c r="AP3" s="60"/>
      <c r="AR3" s="289"/>
      <c r="AS3" s="289"/>
      <c r="AT3" s="289"/>
      <c r="AU3" s="289"/>
      <c r="AV3" s="289"/>
      <c r="AW3" s="289"/>
    </row>
    <row r="4" spans="2:50" ht="15" x14ac:dyDescent="0.3">
      <c r="B4" s="59"/>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R4" s="115"/>
      <c r="AS4" s="115"/>
      <c r="AT4" s="115"/>
      <c r="AU4" s="115"/>
      <c r="AV4" s="115"/>
      <c r="AW4" s="115"/>
    </row>
    <row r="5" spans="2:50" ht="15" customHeight="1" x14ac:dyDescent="0.3">
      <c r="B5" s="346" t="s">
        <v>224</v>
      </c>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c r="AM5" s="346"/>
      <c r="AN5" s="346"/>
      <c r="AO5" s="59"/>
      <c r="AP5" s="59"/>
      <c r="AR5" s="550" t="s">
        <v>20</v>
      </c>
      <c r="AS5" s="550"/>
      <c r="AT5" s="550"/>
      <c r="AU5" s="61"/>
    </row>
    <row r="6" spans="2:50" ht="15" x14ac:dyDescent="0.3">
      <c r="B6" s="59"/>
      <c r="C6" s="60"/>
      <c r="D6" s="346" t="s">
        <v>227</v>
      </c>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4"/>
      <c r="AP6" s="14"/>
      <c r="AR6" s="550"/>
      <c r="AS6" s="550"/>
      <c r="AT6" s="550"/>
    </row>
    <row r="7" spans="2:50" ht="15" customHeight="1" x14ac:dyDescent="0.3">
      <c r="B7" s="346" t="s">
        <v>210</v>
      </c>
      <c r="C7" s="346"/>
      <c r="D7" s="346"/>
      <c r="E7" s="346"/>
      <c r="F7" s="346"/>
      <c r="G7" s="346"/>
      <c r="H7" s="346"/>
      <c r="I7" s="346"/>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6"/>
      <c r="AJ7" s="346"/>
      <c r="AK7" s="346"/>
      <c r="AL7" s="346"/>
      <c r="AM7" s="346"/>
      <c r="AN7" s="346"/>
      <c r="AO7" s="59"/>
      <c r="AP7" s="59"/>
      <c r="AS7" s="160" t="s">
        <v>121</v>
      </c>
      <c r="AT7" s="160"/>
      <c r="AU7" s="160"/>
      <c r="AV7" s="160"/>
    </row>
    <row r="8" spans="2:50" ht="15" customHeight="1" x14ac:dyDescent="0.3">
      <c r="B8" s="346" t="s">
        <v>40</v>
      </c>
      <c r="C8" s="346"/>
      <c r="D8" s="346"/>
      <c r="E8" s="346"/>
      <c r="F8" s="346"/>
      <c r="G8" s="346"/>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c r="AJ8" s="346"/>
      <c r="AK8" s="346"/>
      <c r="AL8" s="346"/>
      <c r="AM8" s="346"/>
      <c r="AN8" s="346"/>
      <c r="AO8" s="59"/>
      <c r="AP8" s="59"/>
      <c r="AS8" s="160"/>
      <c r="AT8" s="160"/>
      <c r="AU8" s="160"/>
      <c r="AV8" s="160"/>
    </row>
    <row r="9" spans="2:50" ht="15" customHeight="1" x14ac:dyDescent="0.3">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R9" s="550" t="s">
        <v>21</v>
      </c>
      <c r="AS9" s="550"/>
      <c r="AT9" s="550"/>
      <c r="AU9" s="550"/>
      <c r="AV9" s="550"/>
      <c r="AW9" s="61"/>
      <c r="AX9" s="61"/>
    </row>
    <row r="10" spans="2:50" ht="15" customHeight="1" x14ac:dyDescent="0.3">
      <c r="B10" s="1"/>
      <c r="C10" s="348" t="s">
        <v>38</v>
      </c>
      <c r="D10" s="349"/>
      <c r="E10" s="349"/>
      <c r="F10" s="349"/>
      <c r="G10" s="349"/>
      <c r="H10" s="349"/>
      <c r="I10" s="349"/>
      <c r="J10" s="349"/>
      <c r="K10" s="349"/>
      <c r="L10" s="349"/>
      <c r="M10" s="349"/>
      <c r="N10" s="349"/>
      <c r="O10" s="349"/>
      <c r="P10" s="349"/>
      <c r="Q10" s="349"/>
      <c r="R10" s="349"/>
      <c r="S10" s="349"/>
      <c r="T10" s="349"/>
      <c r="U10" s="349"/>
      <c r="V10" s="349"/>
      <c r="W10" s="349"/>
      <c r="X10" s="349"/>
      <c r="Y10" s="349"/>
      <c r="Z10" s="349"/>
      <c r="AA10" s="349"/>
      <c r="AB10" s="349"/>
      <c r="AC10" s="349"/>
      <c r="AD10" s="349"/>
      <c r="AE10" s="349"/>
      <c r="AF10" s="349"/>
      <c r="AG10" s="349"/>
      <c r="AH10" s="349"/>
      <c r="AI10" s="349"/>
      <c r="AJ10" s="349"/>
      <c r="AK10" s="349"/>
      <c r="AL10" s="349"/>
      <c r="AM10" s="349"/>
      <c r="AN10" s="349"/>
      <c r="AO10" s="1"/>
      <c r="AP10" s="1"/>
      <c r="AR10" s="550"/>
      <c r="AS10" s="550"/>
      <c r="AT10" s="550"/>
      <c r="AU10" s="550"/>
      <c r="AV10" s="550"/>
      <c r="AW10" s="61"/>
      <c r="AX10" s="61"/>
    </row>
    <row r="11" spans="2:50" ht="15" customHeight="1" x14ac:dyDescent="0.3">
      <c r="B11" s="1"/>
      <c r="C11" s="350">
        <v>1</v>
      </c>
      <c r="D11" s="350" t="s">
        <v>80</v>
      </c>
      <c r="E11" s="252"/>
      <c r="F11" s="252"/>
      <c r="G11" s="252"/>
      <c r="H11" s="252"/>
      <c r="I11" s="252"/>
      <c r="J11" s="252"/>
      <c r="K11" s="252"/>
      <c r="L11" s="252"/>
      <c r="M11" s="252"/>
      <c r="N11" s="252"/>
      <c r="O11" s="252"/>
      <c r="P11" s="252"/>
      <c r="Q11" s="252"/>
      <c r="R11" s="252"/>
      <c r="S11" s="352"/>
      <c r="T11" s="10" t="s">
        <v>5</v>
      </c>
      <c r="U11" s="353" t="str">
        <f>IF(ISBLANK('Basic Information'!L6)," ",PROPER('Basic Information'!L6))</f>
        <v xml:space="preserve"> </v>
      </c>
      <c r="V11" s="353"/>
      <c r="W11" s="353"/>
      <c r="X11" s="353"/>
      <c r="Y11" s="353"/>
      <c r="Z11" s="353"/>
      <c r="AA11" s="353"/>
      <c r="AB11" s="353"/>
      <c r="AC11" s="353"/>
      <c r="AD11" s="353"/>
      <c r="AE11" s="353"/>
      <c r="AF11" s="353"/>
      <c r="AG11" s="353"/>
      <c r="AH11" s="353"/>
      <c r="AI11" s="353"/>
      <c r="AJ11" s="353"/>
      <c r="AK11" s="353"/>
      <c r="AL11" s="353"/>
      <c r="AM11" s="353"/>
      <c r="AN11" s="353"/>
      <c r="AO11" s="59"/>
      <c r="AP11" s="59"/>
      <c r="AR11" s="164" t="s">
        <v>120</v>
      </c>
      <c r="AS11" s="164"/>
      <c r="AT11" s="164"/>
      <c r="AU11" s="164"/>
      <c r="AV11" s="164"/>
      <c r="AW11" s="164"/>
      <c r="AX11" s="62"/>
    </row>
    <row r="12" spans="2:50" ht="15" customHeight="1" x14ac:dyDescent="0.3">
      <c r="B12" s="1"/>
      <c r="C12" s="350"/>
      <c r="D12" s="354" t="s">
        <v>136</v>
      </c>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59"/>
      <c r="AP12" s="59"/>
      <c r="AR12" s="164"/>
      <c r="AS12" s="164"/>
      <c r="AT12" s="164"/>
      <c r="AU12" s="164"/>
      <c r="AV12" s="164"/>
      <c r="AW12" s="164"/>
      <c r="AX12" s="62"/>
    </row>
    <row r="13" spans="2:50" ht="15" customHeight="1" x14ac:dyDescent="0.3">
      <c r="B13" s="1"/>
      <c r="C13" s="350"/>
      <c r="D13" s="350" t="s">
        <v>109</v>
      </c>
      <c r="E13" s="252"/>
      <c r="F13" s="252"/>
      <c r="G13" s="252"/>
      <c r="H13" s="252"/>
      <c r="I13" s="252"/>
      <c r="J13" s="252"/>
      <c r="K13" s="252"/>
      <c r="L13" s="252"/>
      <c r="M13" s="252"/>
      <c r="N13" s="252"/>
      <c r="O13" s="252"/>
      <c r="P13" s="252"/>
      <c r="Q13" s="252"/>
      <c r="R13" s="252"/>
      <c r="S13" s="352"/>
      <c r="T13" s="10" t="s">
        <v>5</v>
      </c>
      <c r="U13" s="549" t="str">
        <f>IF(ISBLANK('Form 10E - Old Scheme'!U13),"",'Form 10E - Old Scheme'!U13)</f>
        <v/>
      </c>
      <c r="V13" s="549"/>
      <c r="W13" s="549"/>
      <c r="X13" s="549"/>
      <c r="Y13" s="549"/>
      <c r="Z13" s="549"/>
      <c r="AA13" s="549"/>
      <c r="AB13" s="549"/>
      <c r="AC13" s="549"/>
      <c r="AD13" s="549"/>
      <c r="AE13" s="549"/>
      <c r="AF13" s="549"/>
      <c r="AG13" s="549"/>
      <c r="AH13" s="549"/>
      <c r="AI13" s="549"/>
      <c r="AJ13" s="549"/>
      <c r="AK13" s="549"/>
      <c r="AL13" s="549"/>
      <c r="AM13" s="549"/>
      <c r="AN13" s="549"/>
      <c r="AO13" s="1"/>
      <c r="AP13" s="1"/>
      <c r="AR13" s="542" t="s">
        <v>36</v>
      </c>
      <c r="AS13" s="542"/>
      <c r="AT13" s="542"/>
      <c r="AU13" s="542"/>
      <c r="AV13" s="542"/>
      <c r="AW13" s="542"/>
      <c r="AX13" s="62"/>
    </row>
    <row r="14" spans="2:50" ht="15" customHeight="1" x14ac:dyDescent="0.3">
      <c r="B14" s="1"/>
      <c r="C14" s="350"/>
      <c r="D14" s="350" t="s">
        <v>110</v>
      </c>
      <c r="E14" s="252"/>
      <c r="F14" s="252"/>
      <c r="G14" s="252"/>
      <c r="H14" s="252"/>
      <c r="I14" s="252"/>
      <c r="J14" s="252"/>
      <c r="K14" s="252"/>
      <c r="L14" s="252"/>
      <c r="M14" s="252"/>
      <c r="N14" s="252"/>
      <c r="O14" s="252"/>
      <c r="P14" s="252"/>
      <c r="Q14" s="252"/>
      <c r="R14" s="252"/>
      <c r="S14" s="352"/>
      <c r="T14" s="10" t="s">
        <v>5</v>
      </c>
      <c r="U14" s="353" t="str">
        <f>IF(ISBLANK('Form 10E - Old Scheme'!U14),"",'Form 10E - Old Scheme'!U14)</f>
        <v/>
      </c>
      <c r="V14" s="353"/>
      <c r="W14" s="353"/>
      <c r="X14" s="353"/>
      <c r="Y14" s="353"/>
      <c r="Z14" s="353"/>
      <c r="AA14" s="353"/>
      <c r="AB14" s="353"/>
      <c r="AC14" s="353"/>
      <c r="AD14" s="353"/>
      <c r="AE14" s="353"/>
      <c r="AF14" s="353"/>
      <c r="AG14" s="353"/>
      <c r="AH14" s="353"/>
      <c r="AI14" s="353"/>
      <c r="AJ14" s="353"/>
      <c r="AK14" s="353"/>
      <c r="AL14" s="353"/>
      <c r="AM14" s="353"/>
      <c r="AN14" s="353"/>
      <c r="AO14" s="1"/>
      <c r="AP14" s="1"/>
      <c r="AR14" s="542"/>
      <c r="AS14" s="542"/>
      <c r="AT14" s="542"/>
      <c r="AU14" s="542"/>
      <c r="AV14" s="542"/>
      <c r="AW14" s="542"/>
      <c r="AX14" s="62"/>
    </row>
    <row r="15" spans="2:50" ht="15" customHeight="1" x14ac:dyDescent="0.3">
      <c r="B15" s="1"/>
      <c r="C15" s="350"/>
      <c r="D15" s="350" t="s">
        <v>108</v>
      </c>
      <c r="E15" s="252"/>
      <c r="F15" s="252"/>
      <c r="G15" s="252"/>
      <c r="H15" s="252"/>
      <c r="I15" s="252"/>
      <c r="J15" s="252"/>
      <c r="K15" s="252"/>
      <c r="L15" s="252"/>
      <c r="M15" s="252"/>
      <c r="N15" s="252"/>
      <c r="O15" s="252"/>
      <c r="P15" s="252"/>
      <c r="Q15" s="252"/>
      <c r="R15" s="252"/>
      <c r="S15" s="352"/>
      <c r="T15" s="10" t="s">
        <v>5</v>
      </c>
      <c r="U15" s="549" t="str">
        <f>IF(ISBLANK('Form 10E - Old Scheme'!U15),"",'Form 10E - Old Scheme'!U15)</f>
        <v/>
      </c>
      <c r="V15" s="549"/>
      <c r="W15" s="549"/>
      <c r="X15" s="549"/>
      <c r="Y15" s="549"/>
      <c r="Z15" s="549"/>
      <c r="AA15" s="549"/>
      <c r="AB15" s="549"/>
      <c r="AC15" s="549"/>
      <c r="AD15" s="549"/>
      <c r="AE15" s="549"/>
      <c r="AF15" s="549"/>
      <c r="AG15" s="549"/>
      <c r="AH15" s="549"/>
      <c r="AI15" s="549"/>
      <c r="AJ15" s="549"/>
      <c r="AK15" s="549"/>
      <c r="AL15" s="549"/>
      <c r="AM15" s="549"/>
      <c r="AN15" s="549"/>
      <c r="AO15" s="1"/>
      <c r="AP15" s="1"/>
      <c r="AS15" s="338" t="s">
        <v>22</v>
      </c>
      <c r="AT15" s="362"/>
      <c r="AU15" s="362"/>
      <c r="AV15" s="543"/>
      <c r="AW15" s="544"/>
      <c r="AX15" s="62"/>
    </row>
    <row r="16" spans="2:50" ht="15" customHeight="1" x14ac:dyDescent="0.3">
      <c r="B16" s="1"/>
      <c r="C16" s="350"/>
      <c r="D16" s="350" t="s">
        <v>107</v>
      </c>
      <c r="E16" s="252"/>
      <c r="F16" s="252"/>
      <c r="G16" s="252"/>
      <c r="H16" s="252"/>
      <c r="I16" s="252"/>
      <c r="J16" s="252"/>
      <c r="K16" s="252"/>
      <c r="L16" s="252"/>
      <c r="M16" s="252"/>
      <c r="N16" s="252"/>
      <c r="O16" s="252"/>
      <c r="P16" s="252"/>
      <c r="Q16" s="252"/>
      <c r="R16" s="252"/>
      <c r="S16" s="352"/>
      <c r="T16" s="10" t="s">
        <v>5</v>
      </c>
      <c r="U16" s="353" t="str">
        <f>IF(ISBLANK('Form 10E - Old Scheme'!U16),"",'Form 10E - Old Scheme'!U16)</f>
        <v/>
      </c>
      <c r="V16" s="353"/>
      <c r="W16" s="353"/>
      <c r="X16" s="353"/>
      <c r="Y16" s="353"/>
      <c r="Z16" s="353"/>
      <c r="AA16" s="353"/>
      <c r="AB16" s="353"/>
      <c r="AC16" s="353"/>
      <c r="AD16" s="353"/>
      <c r="AE16" s="353"/>
      <c r="AF16" s="353"/>
      <c r="AG16" s="353"/>
      <c r="AH16" s="353"/>
      <c r="AI16" s="353"/>
      <c r="AJ16" s="353"/>
      <c r="AK16" s="353"/>
      <c r="AL16" s="353"/>
      <c r="AM16" s="353"/>
      <c r="AN16" s="353"/>
      <c r="AO16" s="1"/>
      <c r="AP16" s="1"/>
      <c r="AS16" s="69"/>
      <c r="AT16" s="69"/>
      <c r="AU16" s="69"/>
      <c r="AV16" s="62"/>
      <c r="AW16" s="70"/>
      <c r="AX16" s="62"/>
    </row>
    <row r="17" spans="2:51" ht="15" customHeight="1" x14ac:dyDescent="0.3">
      <c r="B17" s="1"/>
      <c r="C17" s="350"/>
      <c r="D17" s="350" t="s">
        <v>106</v>
      </c>
      <c r="E17" s="252"/>
      <c r="F17" s="252"/>
      <c r="G17" s="252"/>
      <c r="H17" s="252"/>
      <c r="I17" s="252"/>
      <c r="J17" s="252"/>
      <c r="K17" s="252"/>
      <c r="L17" s="252"/>
      <c r="M17" s="252"/>
      <c r="N17" s="252"/>
      <c r="O17" s="252"/>
      <c r="P17" s="252"/>
      <c r="Q17" s="252"/>
      <c r="R17" s="252"/>
      <c r="S17" s="352"/>
      <c r="T17" s="10" t="s">
        <v>5</v>
      </c>
      <c r="U17" s="549" t="str">
        <f>IF(ISBLANK('Form 10E - Old Scheme'!U17),"",'Form 10E - Old Scheme'!U17)</f>
        <v/>
      </c>
      <c r="V17" s="549"/>
      <c r="W17" s="549"/>
      <c r="X17" s="549"/>
      <c r="Y17" s="549"/>
      <c r="Z17" s="549"/>
      <c r="AA17" s="549"/>
      <c r="AB17" s="549"/>
      <c r="AC17" s="549"/>
      <c r="AD17" s="549"/>
      <c r="AE17" s="549"/>
      <c r="AF17" s="549"/>
      <c r="AG17" s="549"/>
      <c r="AH17" s="549"/>
      <c r="AI17" s="549"/>
      <c r="AJ17" s="549"/>
      <c r="AK17" s="549"/>
      <c r="AL17" s="549"/>
      <c r="AM17" s="549"/>
      <c r="AN17" s="549"/>
      <c r="AO17" s="1"/>
      <c r="AP17" s="1"/>
      <c r="AU17" s="62"/>
      <c r="AV17" s="62"/>
      <c r="AW17" s="62"/>
      <c r="AX17" s="62"/>
    </row>
    <row r="18" spans="2:51" ht="15" customHeight="1" x14ac:dyDescent="0.3">
      <c r="B18" s="1"/>
      <c r="C18" s="350"/>
      <c r="D18" s="350" t="s">
        <v>81</v>
      </c>
      <c r="E18" s="252"/>
      <c r="F18" s="252"/>
      <c r="G18" s="252"/>
      <c r="H18" s="252"/>
      <c r="I18" s="252"/>
      <c r="J18" s="252"/>
      <c r="K18" s="252"/>
      <c r="L18" s="252"/>
      <c r="M18" s="252"/>
      <c r="N18" s="252"/>
      <c r="O18" s="252"/>
      <c r="P18" s="252"/>
      <c r="Q18" s="252"/>
      <c r="R18" s="252"/>
      <c r="S18" s="352"/>
      <c r="T18" s="10" t="s">
        <v>5</v>
      </c>
      <c r="U18" s="353" t="str">
        <f>IF(ISBLANK('Form 10E - Old Scheme'!U18),"",'Form 10E - Old Scheme'!U18)</f>
        <v/>
      </c>
      <c r="V18" s="353"/>
      <c r="W18" s="353"/>
      <c r="X18" s="353"/>
      <c r="Y18" s="353"/>
      <c r="Z18" s="353"/>
      <c r="AA18" s="353"/>
      <c r="AB18" s="353"/>
      <c r="AC18" s="353"/>
      <c r="AD18" s="353"/>
      <c r="AE18" s="353"/>
      <c r="AF18" s="353"/>
      <c r="AG18" s="353"/>
      <c r="AH18" s="353"/>
      <c r="AI18" s="353"/>
      <c r="AJ18" s="353"/>
      <c r="AK18" s="353"/>
      <c r="AL18" s="353"/>
      <c r="AM18" s="353"/>
      <c r="AN18" s="353"/>
      <c r="AO18" s="1"/>
      <c r="AP18" s="1"/>
      <c r="AR18" s="170" t="s">
        <v>135</v>
      </c>
      <c r="AS18" s="170"/>
      <c r="AT18" s="170"/>
      <c r="AU18" s="170"/>
      <c r="AV18" s="170"/>
      <c r="AW18" s="170"/>
      <c r="AX18" s="548"/>
    </row>
    <row r="19" spans="2:51" ht="15" customHeight="1" x14ac:dyDescent="0.3">
      <c r="B19" s="1"/>
      <c r="C19" s="351"/>
      <c r="D19" s="350" t="s">
        <v>137</v>
      </c>
      <c r="E19" s="252"/>
      <c r="F19" s="252"/>
      <c r="G19" s="252"/>
      <c r="H19" s="252"/>
      <c r="I19" s="252"/>
      <c r="J19" s="252"/>
      <c r="K19" s="252"/>
      <c r="L19" s="252"/>
      <c r="M19" s="252"/>
      <c r="N19" s="252"/>
      <c r="O19" s="252"/>
      <c r="P19" s="252"/>
      <c r="Q19" s="252"/>
      <c r="R19" s="252"/>
      <c r="S19" s="352"/>
      <c r="T19" s="10" t="s">
        <v>5</v>
      </c>
      <c r="U19" s="549" t="str">
        <f>IF(ISBLANK('Form 10E - Old Scheme'!U19),"",'Form 10E - Old Scheme'!U19)</f>
        <v/>
      </c>
      <c r="V19" s="549"/>
      <c r="W19" s="549"/>
      <c r="X19" s="549"/>
      <c r="Y19" s="549"/>
      <c r="Z19" s="549"/>
      <c r="AA19" s="549"/>
      <c r="AB19" s="549"/>
      <c r="AC19" s="549"/>
      <c r="AD19" s="549"/>
      <c r="AE19" s="549"/>
      <c r="AF19" s="549"/>
      <c r="AG19" s="549"/>
      <c r="AH19" s="549"/>
      <c r="AI19" s="549"/>
      <c r="AJ19" s="549"/>
      <c r="AK19" s="549"/>
      <c r="AL19" s="549"/>
      <c r="AM19" s="549"/>
      <c r="AN19" s="549"/>
      <c r="AO19" s="1"/>
      <c r="AP19" s="1"/>
      <c r="AR19" s="170"/>
      <c r="AS19" s="170"/>
      <c r="AT19" s="170"/>
      <c r="AU19" s="170"/>
      <c r="AV19" s="170"/>
      <c r="AW19" s="170"/>
      <c r="AX19" s="548"/>
    </row>
    <row r="20" spans="2:51" ht="15" customHeight="1" x14ac:dyDescent="0.3">
      <c r="B20" s="1"/>
      <c r="C20" s="9">
        <v>2</v>
      </c>
      <c r="D20" s="359" t="s">
        <v>41</v>
      </c>
      <c r="E20" s="359"/>
      <c r="F20" s="359"/>
      <c r="G20" s="359"/>
      <c r="H20" s="359"/>
      <c r="I20" s="359"/>
      <c r="J20" s="359"/>
      <c r="K20" s="359"/>
      <c r="L20" s="359"/>
      <c r="M20" s="359"/>
      <c r="N20" s="359"/>
      <c r="O20" s="359"/>
      <c r="P20" s="359"/>
      <c r="Q20" s="359"/>
      <c r="R20" s="359"/>
      <c r="S20" s="360"/>
      <c r="T20" s="11" t="s">
        <v>5</v>
      </c>
      <c r="U20" s="353" t="str">
        <f>IF(ISNONTEXT('Basic Information'!AK6)," ",UPPER('Basic Information'!AK6))</f>
        <v xml:space="preserve"> </v>
      </c>
      <c r="V20" s="353"/>
      <c r="W20" s="353"/>
      <c r="X20" s="353"/>
      <c r="Y20" s="353"/>
      <c r="Z20" s="353"/>
      <c r="AA20" s="353"/>
      <c r="AB20" s="353"/>
      <c r="AC20" s="353"/>
      <c r="AD20" s="353"/>
      <c r="AE20" s="353"/>
      <c r="AF20" s="353"/>
      <c r="AG20" s="353"/>
      <c r="AH20" s="353"/>
      <c r="AI20" s="353"/>
      <c r="AJ20" s="353"/>
      <c r="AK20" s="353"/>
      <c r="AL20" s="353"/>
      <c r="AM20" s="353"/>
      <c r="AN20" s="353"/>
      <c r="AO20" s="1"/>
      <c r="AP20" s="1"/>
      <c r="AR20" s="170"/>
      <c r="AS20" s="170"/>
      <c r="AT20" s="170"/>
      <c r="AU20" s="170"/>
      <c r="AV20" s="170"/>
      <c r="AW20" s="170"/>
      <c r="AX20" s="548"/>
    </row>
    <row r="21" spans="2:51" x14ac:dyDescent="0.3">
      <c r="B21" s="1"/>
      <c r="C21" s="9">
        <v>3</v>
      </c>
      <c r="D21" s="359" t="s">
        <v>42</v>
      </c>
      <c r="E21" s="359"/>
      <c r="F21" s="359"/>
      <c r="G21" s="359"/>
      <c r="H21" s="359"/>
      <c r="I21" s="359"/>
      <c r="J21" s="359"/>
      <c r="K21" s="359"/>
      <c r="L21" s="359"/>
      <c r="M21" s="359"/>
      <c r="N21" s="359"/>
      <c r="O21" s="359"/>
      <c r="P21" s="359"/>
      <c r="Q21" s="359"/>
      <c r="R21" s="359"/>
      <c r="S21" s="360"/>
      <c r="T21" s="11" t="s">
        <v>5</v>
      </c>
      <c r="U21" s="549" t="str">
        <f>IF(ISBLANK('Form 10E - Old Scheme'!U21),"",'Form 10E - Old Scheme'!U21)</f>
        <v/>
      </c>
      <c r="V21" s="549"/>
      <c r="W21" s="549"/>
      <c r="X21" s="549"/>
      <c r="Y21" s="549"/>
      <c r="Z21" s="549"/>
      <c r="AA21" s="549"/>
      <c r="AB21" s="549"/>
      <c r="AC21" s="549"/>
      <c r="AD21" s="549"/>
      <c r="AE21" s="549"/>
      <c r="AF21" s="549"/>
      <c r="AG21" s="549"/>
      <c r="AH21" s="549"/>
      <c r="AI21" s="549"/>
      <c r="AJ21" s="549"/>
      <c r="AK21" s="549"/>
      <c r="AL21" s="549"/>
      <c r="AM21" s="549"/>
      <c r="AN21" s="549"/>
      <c r="AO21" s="1"/>
      <c r="AP21" s="1"/>
      <c r="AR21" s="170"/>
      <c r="AS21" s="170"/>
      <c r="AT21" s="170"/>
      <c r="AU21" s="170"/>
      <c r="AV21" s="170"/>
      <c r="AW21" s="170"/>
      <c r="AX21" s="548"/>
    </row>
    <row r="22" spans="2:51" x14ac:dyDescent="0.3">
      <c r="B22" s="1"/>
      <c r="C22" s="9">
        <v>4</v>
      </c>
      <c r="D22" s="359" t="s">
        <v>44</v>
      </c>
      <c r="E22" s="359"/>
      <c r="F22" s="359"/>
      <c r="G22" s="359"/>
      <c r="H22" s="359"/>
      <c r="I22" s="359"/>
      <c r="J22" s="359"/>
      <c r="K22" s="359"/>
      <c r="L22" s="359"/>
      <c r="M22" s="359"/>
      <c r="N22" s="359"/>
      <c r="O22" s="359"/>
      <c r="P22" s="359"/>
      <c r="Q22" s="359"/>
      <c r="R22" s="359"/>
      <c r="S22" s="360"/>
      <c r="T22" s="11" t="s">
        <v>5</v>
      </c>
      <c r="U22" s="353" t="str">
        <f>IF(ISBLANK('Form 10E - Old Scheme'!U22),"",'Form 10E - Old Scheme'!U22)</f>
        <v/>
      </c>
      <c r="V22" s="353"/>
      <c r="W22" s="353"/>
      <c r="X22" s="353"/>
      <c r="Y22" s="353"/>
      <c r="Z22" s="353"/>
      <c r="AA22" s="353"/>
      <c r="AB22" s="353"/>
      <c r="AC22" s="353"/>
      <c r="AD22" s="353"/>
      <c r="AE22" s="353"/>
      <c r="AF22" s="353"/>
      <c r="AG22" s="353"/>
      <c r="AH22" s="353"/>
      <c r="AI22" s="353"/>
      <c r="AJ22" s="353"/>
      <c r="AK22" s="353"/>
      <c r="AL22" s="353"/>
      <c r="AM22" s="353"/>
      <c r="AN22" s="353"/>
      <c r="AO22" s="1"/>
      <c r="AP22" s="1"/>
      <c r="AQ22" s="2" t="str">
        <f>IF(AND(NOT(ISBLANK(AF27)), OR(ISBLANK(U22),U22="SELECT")),"Please select Gender","")</f>
        <v/>
      </c>
      <c r="AT22" s="1"/>
      <c r="AU22" s="1"/>
      <c r="AV22" s="1"/>
      <c r="AW22" s="1"/>
      <c r="AX22" s="1"/>
    </row>
    <row r="23" spans="2:51" x14ac:dyDescent="0.3">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T23" s="1"/>
      <c r="AU23" s="65"/>
      <c r="AV23" s="65"/>
      <c r="AW23" s="1"/>
      <c r="AX23" s="1"/>
    </row>
    <row r="24" spans="2:51" x14ac:dyDescent="0.3">
      <c r="B24" s="1"/>
      <c r="C24" s="347" t="s">
        <v>45</v>
      </c>
      <c r="D24" s="347"/>
      <c r="E24" s="347"/>
      <c r="F24" s="347"/>
      <c r="G24" s="347"/>
      <c r="H24" s="347"/>
      <c r="I24" s="347"/>
      <c r="J24" s="347"/>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7"/>
      <c r="AL24" s="347"/>
      <c r="AM24" s="347"/>
      <c r="AN24" s="347"/>
      <c r="AO24" s="60"/>
      <c r="AP24" s="60"/>
    </row>
    <row r="25" spans="2:51" x14ac:dyDescent="0.3">
      <c r="B25" s="1"/>
      <c r="C25" s="1"/>
      <c r="D25" s="1"/>
      <c r="E25" s="1"/>
      <c r="F25" s="1"/>
      <c r="G25" s="361" t="s">
        <v>225</v>
      </c>
      <c r="H25" s="362"/>
      <c r="I25" s="362"/>
      <c r="J25" s="362"/>
      <c r="K25" s="362"/>
      <c r="L25" s="362"/>
      <c r="M25" s="362"/>
      <c r="N25" s="362"/>
      <c r="O25" s="362"/>
      <c r="P25" s="362"/>
      <c r="Q25" s="362"/>
      <c r="R25" s="362"/>
      <c r="S25" s="362"/>
      <c r="T25" s="362"/>
      <c r="U25" s="362"/>
      <c r="V25" s="362"/>
      <c r="W25" s="362"/>
      <c r="X25" s="362"/>
      <c r="Y25" s="362"/>
      <c r="Z25" s="362"/>
      <c r="AA25" s="361" t="s">
        <v>157</v>
      </c>
      <c r="AB25" s="361"/>
      <c r="AC25" s="361"/>
      <c r="AD25" s="361"/>
      <c r="AE25" s="361"/>
      <c r="AF25" s="361"/>
      <c r="AG25" s="361"/>
      <c r="AH25" s="361"/>
      <c r="AI25" s="361"/>
      <c r="AJ25" s="361"/>
      <c r="AK25" s="361"/>
      <c r="AL25" s="361"/>
      <c r="AM25" s="1"/>
      <c r="AN25" s="1"/>
      <c r="AO25" s="1"/>
      <c r="AP25" s="1"/>
      <c r="AQ25" s="2" t="str">
        <f>IF(AND(NOT(ISBLANK(AF27)), OR(ISBLANK(AA25),AA25="SELECT")),"Please select a Assessement Year","")</f>
        <v/>
      </c>
    </row>
    <row r="26" spans="2:51" ht="15" customHeight="1" x14ac:dyDescent="0.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T26" s="56" t="s">
        <v>118</v>
      </c>
      <c r="AU26" s="57"/>
      <c r="AV26" s="57"/>
      <c r="AW26" s="57"/>
      <c r="AX26" s="57"/>
      <c r="AY26" s="57"/>
    </row>
    <row r="27" spans="2:51" ht="15" customHeight="1" x14ac:dyDescent="0.3">
      <c r="B27" s="1"/>
      <c r="C27" s="390">
        <v>1</v>
      </c>
      <c r="D27" s="390" t="s">
        <v>8</v>
      </c>
      <c r="E27" s="390"/>
      <c r="F27" s="372" t="s">
        <v>46</v>
      </c>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3"/>
      <c r="AE27" s="394"/>
      <c r="AF27" s="551">
        <f>IF(AND(AP27&gt;='Form 10E - Old Scheme'!AF27,ISNUMBER('Form 10E - Old Scheme'!AF27)),'Form 10E - Old Scheme'!AF27,0)</f>
        <v>0</v>
      </c>
      <c r="AG27" s="552"/>
      <c r="AH27" s="552"/>
      <c r="AI27" s="552"/>
      <c r="AJ27" s="552"/>
      <c r="AK27" s="552"/>
      <c r="AL27" s="552"/>
      <c r="AM27" s="552"/>
      <c r="AN27" s="553"/>
      <c r="AO27" s="3"/>
      <c r="AP27" s="88">
        <f>SUM('Income Tax Proforma - New Schem'!N34,'Income Tax Proforma - New Schem'!AH34,'Income Tax Proforma - New Schem'!BC34)</f>
        <v>0</v>
      </c>
      <c r="AT27" s="53"/>
      <c r="AU27" s="53"/>
      <c r="AV27" s="53"/>
      <c r="AW27" s="53"/>
      <c r="AX27" s="53"/>
      <c r="AY27" s="53"/>
    </row>
    <row r="28" spans="2:51" ht="15" customHeight="1" x14ac:dyDescent="0.3">
      <c r="B28" s="1"/>
      <c r="C28" s="391"/>
      <c r="D28" s="391"/>
      <c r="E28" s="391"/>
      <c r="F28" s="395"/>
      <c r="G28" s="396"/>
      <c r="H28" s="396"/>
      <c r="I28" s="396"/>
      <c r="J28" s="396"/>
      <c r="K28" s="396"/>
      <c r="L28" s="396"/>
      <c r="M28" s="396"/>
      <c r="N28" s="396"/>
      <c r="O28" s="396"/>
      <c r="P28" s="396"/>
      <c r="Q28" s="396"/>
      <c r="R28" s="396"/>
      <c r="S28" s="396"/>
      <c r="T28" s="396"/>
      <c r="U28" s="396"/>
      <c r="V28" s="396"/>
      <c r="W28" s="396"/>
      <c r="X28" s="396"/>
      <c r="Y28" s="396"/>
      <c r="Z28" s="396"/>
      <c r="AA28" s="396"/>
      <c r="AB28" s="396"/>
      <c r="AC28" s="396"/>
      <c r="AD28" s="397"/>
      <c r="AE28" s="398"/>
      <c r="AF28" s="554"/>
      <c r="AG28" s="554"/>
      <c r="AH28" s="554"/>
      <c r="AI28" s="554"/>
      <c r="AJ28" s="554"/>
      <c r="AK28" s="554"/>
      <c r="AL28" s="554"/>
      <c r="AM28" s="554"/>
      <c r="AN28" s="555"/>
      <c r="AO28" s="3"/>
      <c r="AP28" s="3"/>
      <c r="AT28" s="53"/>
      <c r="AU28" s="53"/>
      <c r="AV28" s="53"/>
      <c r="AW28" s="53"/>
      <c r="AX28" s="53"/>
      <c r="AY28" s="53"/>
    </row>
    <row r="29" spans="2:51" ht="15" customHeight="1" x14ac:dyDescent="0.3">
      <c r="B29" s="1"/>
      <c r="C29" s="363"/>
      <c r="D29" s="366" t="s">
        <v>9</v>
      </c>
      <c r="E29" s="367"/>
      <c r="F29" s="372" t="s">
        <v>75</v>
      </c>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4"/>
      <c r="AF29" s="399" t="s">
        <v>47</v>
      </c>
      <c r="AG29" s="409"/>
      <c r="AH29" s="409"/>
      <c r="AI29" s="409"/>
      <c r="AJ29" s="409"/>
      <c r="AK29" s="409"/>
      <c r="AL29" s="409"/>
      <c r="AM29" s="409"/>
      <c r="AN29" s="410"/>
      <c r="AO29" s="3"/>
      <c r="AP29" s="3"/>
      <c r="AT29" s="53"/>
      <c r="AU29" s="53"/>
      <c r="AV29" s="53"/>
      <c r="AW29" s="53"/>
      <c r="AX29" s="53"/>
      <c r="AY29" s="53"/>
    </row>
    <row r="30" spans="2:51" ht="15" customHeight="1" x14ac:dyDescent="0.3">
      <c r="B30" s="1"/>
      <c r="C30" s="364"/>
      <c r="D30" s="368"/>
      <c r="E30" s="369"/>
      <c r="F30" s="375"/>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7"/>
      <c r="AF30" s="411"/>
      <c r="AG30" s="411"/>
      <c r="AH30" s="411"/>
      <c r="AI30" s="411"/>
      <c r="AJ30" s="411"/>
      <c r="AK30" s="411"/>
      <c r="AL30" s="411"/>
      <c r="AM30" s="411"/>
      <c r="AN30" s="412"/>
      <c r="AO30" s="3"/>
      <c r="AP30" s="3"/>
      <c r="AT30" s="53"/>
      <c r="AU30" s="53"/>
      <c r="AV30" s="53"/>
      <c r="AW30" s="53"/>
      <c r="AX30" s="53"/>
      <c r="AY30" s="53"/>
    </row>
    <row r="31" spans="2:51" x14ac:dyDescent="0.3">
      <c r="B31" s="1"/>
      <c r="C31" s="365"/>
      <c r="D31" s="370"/>
      <c r="E31" s="371"/>
      <c r="F31" s="378"/>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80"/>
      <c r="AF31" s="413"/>
      <c r="AG31" s="413"/>
      <c r="AH31" s="413"/>
      <c r="AI31" s="413"/>
      <c r="AJ31" s="413"/>
      <c r="AK31" s="413"/>
      <c r="AL31" s="413"/>
      <c r="AM31" s="413"/>
      <c r="AN31" s="414"/>
      <c r="AO31" s="3"/>
      <c r="AP31" s="3"/>
    </row>
    <row r="32" spans="2:51" x14ac:dyDescent="0.3">
      <c r="B32" s="1"/>
      <c r="C32" s="363"/>
      <c r="D32" s="366" t="s">
        <v>48</v>
      </c>
      <c r="E32" s="367"/>
      <c r="F32" s="372" t="s">
        <v>76</v>
      </c>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4"/>
      <c r="AF32" s="381" t="s">
        <v>47</v>
      </c>
      <c r="AG32" s="382"/>
      <c r="AH32" s="382"/>
      <c r="AI32" s="382"/>
      <c r="AJ32" s="382"/>
      <c r="AK32" s="382"/>
      <c r="AL32" s="382"/>
      <c r="AM32" s="382"/>
      <c r="AN32" s="383"/>
      <c r="AO32" s="63"/>
      <c r="AP32" s="63"/>
    </row>
    <row r="33" spans="2:42" x14ac:dyDescent="0.3">
      <c r="B33" s="1"/>
      <c r="C33" s="364"/>
      <c r="D33" s="368"/>
      <c r="E33" s="369"/>
      <c r="F33" s="375"/>
      <c r="G33" s="376"/>
      <c r="H33" s="376"/>
      <c r="I33" s="376"/>
      <c r="J33" s="376"/>
      <c r="K33" s="376"/>
      <c r="L33" s="376"/>
      <c r="M33" s="376"/>
      <c r="N33" s="376"/>
      <c r="O33" s="376"/>
      <c r="P33" s="376"/>
      <c r="Q33" s="376"/>
      <c r="R33" s="376"/>
      <c r="S33" s="376"/>
      <c r="T33" s="376"/>
      <c r="U33" s="376"/>
      <c r="V33" s="376"/>
      <c r="W33" s="376"/>
      <c r="X33" s="376"/>
      <c r="Y33" s="376"/>
      <c r="Z33" s="376"/>
      <c r="AA33" s="376"/>
      <c r="AB33" s="376"/>
      <c r="AC33" s="376"/>
      <c r="AD33" s="376"/>
      <c r="AE33" s="377"/>
      <c r="AF33" s="384"/>
      <c r="AG33" s="385"/>
      <c r="AH33" s="385"/>
      <c r="AI33" s="385"/>
      <c r="AJ33" s="385"/>
      <c r="AK33" s="385"/>
      <c r="AL33" s="385"/>
      <c r="AM33" s="385"/>
      <c r="AN33" s="386"/>
      <c r="AO33" s="63"/>
      <c r="AP33" s="63"/>
    </row>
    <row r="34" spans="2:42" x14ac:dyDescent="0.3">
      <c r="B34" s="1"/>
      <c r="C34" s="364"/>
      <c r="D34" s="368"/>
      <c r="E34" s="369"/>
      <c r="F34" s="375"/>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7"/>
      <c r="AF34" s="384"/>
      <c r="AG34" s="385"/>
      <c r="AH34" s="385"/>
      <c r="AI34" s="385"/>
      <c r="AJ34" s="385"/>
      <c r="AK34" s="385"/>
      <c r="AL34" s="385"/>
      <c r="AM34" s="385"/>
      <c r="AN34" s="386"/>
      <c r="AO34" s="63"/>
      <c r="AP34" s="63"/>
    </row>
    <row r="35" spans="2:42" x14ac:dyDescent="0.3">
      <c r="B35" s="1"/>
      <c r="C35" s="364"/>
      <c r="D35" s="368"/>
      <c r="E35" s="369"/>
      <c r="F35" s="375"/>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7"/>
      <c r="AF35" s="384"/>
      <c r="AG35" s="385"/>
      <c r="AH35" s="385"/>
      <c r="AI35" s="385"/>
      <c r="AJ35" s="385"/>
      <c r="AK35" s="385"/>
      <c r="AL35" s="385"/>
      <c r="AM35" s="385"/>
      <c r="AN35" s="386"/>
      <c r="AO35" s="63"/>
      <c r="AP35" s="63"/>
    </row>
    <row r="36" spans="2:42" x14ac:dyDescent="0.3">
      <c r="B36" s="1"/>
      <c r="C36" s="364"/>
      <c r="D36" s="368"/>
      <c r="E36" s="369"/>
      <c r="F36" s="375"/>
      <c r="G36" s="376"/>
      <c r="H36" s="376"/>
      <c r="I36" s="376"/>
      <c r="J36" s="376"/>
      <c r="K36" s="376"/>
      <c r="L36" s="376"/>
      <c r="M36" s="376"/>
      <c r="N36" s="376"/>
      <c r="O36" s="376"/>
      <c r="P36" s="376"/>
      <c r="Q36" s="376"/>
      <c r="R36" s="376"/>
      <c r="S36" s="376"/>
      <c r="T36" s="376"/>
      <c r="U36" s="376"/>
      <c r="V36" s="376"/>
      <c r="W36" s="376"/>
      <c r="X36" s="376"/>
      <c r="Y36" s="376"/>
      <c r="Z36" s="376"/>
      <c r="AA36" s="376"/>
      <c r="AB36" s="376"/>
      <c r="AC36" s="376"/>
      <c r="AD36" s="376"/>
      <c r="AE36" s="377"/>
      <c r="AF36" s="384"/>
      <c r="AG36" s="385"/>
      <c r="AH36" s="385"/>
      <c r="AI36" s="385"/>
      <c r="AJ36" s="385"/>
      <c r="AK36" s="385"/>
      <c r="AL36" s="385"/>
      <c r="AM36" s="385"/>
      <c r="AN36" s="386"/>
      <c r="AO36" s="63"/>
      <c r="AP36" s="63"/>
    </row>
    <row r="37" spans="2:42" x14ac:dyDescent="0.3">
      <c r="B37" s="1"/>
      <c r="C37" s="365"/>
      <c r="D37" s="370"/>
      <c r="E37" s="371"/>
      <c r="F37" s="378"/>
      <c r="G37" s="379"/>
      <c r="H37" s="379"/>
      <c r="I37" s="379"/>
      <c r="J37" s="379"/>
      <c r="K37" s="379"/>
      <c r="L37" s="379"/>
      <c r="M37" s="379"/>
      <c r="N37" s="379"/>
      <c r="O37" s="379"/>
      <c r="P37" s="379"/>
      <c r="Q37" s="379"/>
      <c r="R37" s="379"/>
      <c r="S37" s="379"/>
      <c r="T37" s="379"/>
      <c r="U37" s="379"/>
      <c r="V37" s="379"/>
      <c r="W37" s="379"/>
      <c r="X37" s="379"/>
      <c r="Y37" s="379"/>
      <c r="Z37" s="379"/>
      <c r="AA37" s="379"/>
      <c r="AB37" s="379"/>
      <c r="AC37" s="379"/>
      <c r="AD37" s="379"/>
      <c r="AE37" s="380"/>
      <c r="AF37" s="387"/>
      <c r="AG37" s="388"/>
      <c r="AH37" s="388"/>
      <c r="AI37" s="388"/>
      <c r="AJ37" s="388"/>
      <c r="AK37" s="388"/>
      <c r="AL37" s="388"/>
      <c r="AM37" s="388"/>
      <c r="AN37" s="389"/>
      <c r="AO37" s="63"/>
      <c r="AP37" s="63"/>
    </row>
    <row r="38" spans="2:42" x14ac:dyDescent="0.3">
      <c r="B38" s="1"/>
      <c r="C38" s="390"/>
      <c r="D38" s="390" t="s">
        <v>10</v>
      </c>
      <c r="E38" s="390"/>
      <c r="F38" s="372" t="s">
        <v>49</v>
      </c>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3"/>
      <c r="AE38" s="394"/>
      <c r="AF38" s="399" t="s">
        <v>47</v>
      </c>
      <c r="AG38" s="400"/>
      <c r="AH38" s="400"/>
      <c r="AI38" s="400"/>
      <c r="AJ38" s="400"/>
      <c r="AK38" s="400"/>
      <c r="AL38" s="400"/>
      <c r="AM38" s="400"/>
      <c r="AN38" s="401"/>
      <c r="AO38" s="4"/>
      <c r="AP38" s="4"/>
    </row>
    <row r="39" spans="2:42" x14ac:dyDescent="0.3">
      <c r="B39" s="1"/>
      <c r="C39" s="391"/>
      <c r="D39" s="391"/>
      <c r="E39" s="391"/>
      <c r="F39" s="395"/>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7"/>
      <c r="AE39" s="398"/>
      <c r="AF39" s="402"/>
      <c r="AG39" s="402"/>
      <c r="AH39" s="402"/>
      <c r="AI39" s="402"/>
      <c r="AJ39" s="402"/>
      <c r="AK39" s="402"/>
      <c r="AL39" s="402"/>
      <c r="AM39" s="402"/>
      <c r="AN39" s="403"/>
      <c r="AO39" s="4"/>
      <c r="AP39" s="4"/>
    </row>
    <row r="40" spans="2:42" x14ac:dyDescent="0.3">
      <c r="B40" s="1"/>
      <c r="C40" s="390">
        <v>2</v>
      </c>
      <c r="D40" s="390"/>
      <c r="E40" s="390"/>
      <c r="F40" s="372" t="s">
        <v>77</v>
      </c>
      <c r="G40" s="392"/>
      <c r="H40" s="392"/>
      <c r="I40" s="392"/>
      <c r="J40" s="392"/>
      <c r="K40" s="392"/>
      <c r="L40" s="392"/>
      <c r="M40" s="392"/>
      <c r="N40" s="392"/>
      <c r="O40" s="392"/>
      <c r="P40" s="392"/>
      <c r="Q40" s="392"/>
      <c r="R40" s="392"/>
      <c r="S40" s="392"/>
      <c r="T40" s="392"/>
      <c r="U40" s="392"/>
      <c r="V40" s="392"/>
      <c r="W40" s="392"/>
      <c r="X40" s="392"/>
      <c r="Y40" s="392"/>
      <c r="Z40" s="392"/>
      <c r="AA40" s="392"/>
      <c r="AB40" s="392"/>
      <c r="AC40" s="392"/>
      <c r="AD40" s="393"/>
      <c r="AE40" s="394"/>
      <c r="AF40" s="399" t="s">
        <v>50</v>
      </c>
      <c r="AG40" s="400"/>
      <c r="AH40" s="400"/>
      <c r="AI40" s="400"/>
      <c r="AJ40" s="400"/>
      <c r="AK40" s="400"/>
      <c r="AL40" s="400"/>
      <c r="AM40" s="400"/>
      <c r="AN40" s="401"/>
      <c r="AO40" s="4"/>
      <c r="AP40" s="4"/>
    </row>
    <row r="41" spans="2:42" x14ac:dyDescent="0.3">
      <c r="B41" s="1"/>
      <c r="C41" s="391"/>
      <c r="D41" s="391"/>
      <c r="E41" s="391"/>
      <c r="F41" s="395"/>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7"/>
      <c r="AE41" s="398"/>
      <c r="AF41" s="402"/>
      <c r="AG41" s="402"/>
      <c r="AH41" s="402"/>
      <c r="AI41" s="402"/>
      <c r="AJ41" s="402"/>
      <c r="AK41" s="402"/>
      <c r="AL41" s="402"/>
      <c r="AM41" s="402"/>
      <c r="AN41" s="403"/>
      <c r="AO41" s="4"/>
      <c r="AP41" s="4"/>
    </row>
    <row r="42" spans="2:42" x14ac:dyDescent="0.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2:42" x14ac:dyDescent="0.3">
      <c r="B43" s="1"/>
      <c r="C43" s="1"/>
      <c r="D43" s="1"/>
      <c r="E43" s="1"/>
      <c r="F43" s="1"/>
      <c r="G43" s="1"/>
      <c r="H43" s="1"/>
      <c r="I43" s="1"/>
      <c r="J43" s="1"/>
      <c r="K43" s="1"/>
      <c r="L43" s="1"/>
      <c r="M43" s="1"/>
      <c r="N43" s="1"/>
      <c r="O43" s="1"/>
      <c r="P43" s="417" t="s">
        <v>52</v>
      </c>
      <c r="Q43" s="347"/>
      <c r="R43" s="347"/>
      <c r="S43" s="347"/>
      <c r="T43" s="347"/>
      <c r="U43" s="347"/>
      <c r="V43" s="347"/>
      <c r="W43" s="347"/>
      <c r="X43" s="347"/>
      <c r="Y43" s="347"/>
      <c r="Z43" s="347"/>
      <c r="AA43" s="1"/>
      <c r="AB43" s="1"/>
      <c r="AC43" s="1"/>
      <c r="AD43" s="1"/>
      <c r="AE43" s="1"/>
      <c r="AF43" s="1"/>
      <c r="AG43" s="1"/>
      <c r="AH43" s="1"/>
      <c r="AI43" s="1"/>
      <c r="AJ43" s="1"/>
      <c r="AK43" s="1"/>
      <c r="AL43" s="1"/>
      <c r="AM43" s="1"/>
      <c r="AN43" s="1"/>
      <c r="AO43" s="1"/>
      <c r="AP43" s="1"/>
    </row>
    <row r="44" spans="2:42" x14ac:dyDescent="0.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2:42" x14ac:dyDescent="0.3">
      <c r="B45" s="1"/>
      <c r="C45" s="1" t="s">
        <v>53</v>
      </c>
      <c r="D45" s="343" t="str">
        <f>IF(ISBLANK(U11)," ", PROPER(U11))</f>
        <v xml:space="preserve"> </v>
      </c>
      <c r="E45" s="343"/>
      <c r="F45" s="343"/>
      <c r="G45" s="343"/>
      <c r="H45" s="343"/>
      <c r="I45" s="343"/>
      <c r="J45" s="343"/>
      <c r="K45" s="343"/>
      <c r="L45" s="343"/>
      <c r="M45" s="343"/>
      <c r="N45" s="343"/>
      <c r="O45" s="343"/>
      <c r="P45" s="343"/>
      <c r="Q45" s="343"/>
      <c r="R45" s="343"/>
      <c r="S45" s="343"/>
      <c r="T45" s="343"/>
      <c r="U45" s="343"/>
      <c r="V45" s="361" t="s">
        <v>54</v>
      </c>
      <c r="W45" s="361"/>
      <c r="X45" s="361"/>
      <c r="Y45" s="361"/>
      <c r="Z45" s="361"/>
      <c r="AA45" s="361"/>
      <c r="AB45" s="361"/>
      <c r="AC45" s="361"/>
      <c r="AD45" s="361"/>
      <c r="AE45" s="361"/>
      <c r="AF45" s="361"/>
      <c r="AG45" s="361"/>
      <c r="AH45" s="361"/>
      <c r="AI45" s="361"/>
      <c r="AJ45" s="361"/>
      <c r="AK45" s="361"/>
      <c r="AL45" s="361"/>
      <c r="AM45" s="361"/>
      <c r="AN45" s="361"/>
      <c r="AO45" s="8"/>
      <c r="AP45" s="8"/>
    </row>
    <row r="46" spans="2:42" x14ac:dyDescent="0.3">
      <c r="B46" s="1"/>
      <c r="C46" s="361" t="s">
        <v>55</v>
      </c>
      <c r="D46" s="361"/>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1"/>
      <c r="AF46" s="1"/>
      <c r="AG46" s="1"/>
      <c r="AH46" s="1"/>
      <c r="AI46" s="1"/>
      <c r="AJ46" s="1"/>
      <c r="AK46" s="1"/>
      <c r="AL46" s="1"/>
      <c r="AM46" s="1"/>
      <c r="AN46" s="1"/>
      <c r="AO46" s="1"/>
      <c r="AP46" s="1"/>
    </row>
    <row r="47" spans="2:42" x14ac:dyDescent="0.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9" x14ac:dyDescent="0.3">
      <c r="B49" s="1"/>
      <c r="C49" s="361" t="s">
        <v>11</v>
      </c>
      <c r="D49" s="361"/>
      <c r="E49" s="361"/>
      <c r="F49" s="361"/>
      <c r="G49" s="1" t="s">
        <v>5</v>
      </c>
      <c r="H49" s="343" t="str">
        <f>IF(ISBLANK('Basic Information'!H29)," ",PROPER('Basic Information'!H29))</f>
        <v xml:space="preserve"> </v>
      </c>
      <c r="I49" s="343"/>
      <c r="J49" s="343"/>
      <c r="K49" s="343"/>
      <c r="L49" s="343"/>
      <c r="M49" s="343"/>
      <c r="N49" s="343"/>
      <c r="O49" s="343"/>
      <c r="P49" s="343"/>
      <c r="Q49" s="418"/>
      <c r="R49" s="418"/>
      <c r="S49" s="418"/>
      <c r="T49" s="418"/>
      <c r="U49" s="418"/>
      <c r="V49" s="1"/>
      <c r="W49" s="1"/>
      <c r="X49" s="1"/>
      <c r="Y49" s="1"/>
      <c r="Z49" s="1"/>
      <c r="AA49" s="1"/>
      <c r="AB49" s="1"/>
      <c r="AC49" s="347"/>
      <c r="AD49" s="347"/>
      <c r="AE49" s="347"/>
      <c r="AF49" s="347"/>
      <c r="AG49" s="347"/>
      <c r="AH49" s="347"/>
      <c r="AI49" s="347"/>
      <c r="AJ49" s="347"/>
      <c r="AK49" s="347"/>
      <c r="AL49" s="347"/>
      <c r="AM49" s="347"/>
      <c r="AN49" s="347"/>
      <c r="AO49" s="60"/>
      <c r="AP49" s="60"/>
    </row>
    <row r="50" spans="2:49" x14ac:dyDescent="0.3">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415"/>
      <c r="AD50" s="415"/>
      <c r="AE50" s="415"/>
      <c r="AF50" s="415"/>
      <c r="AG50" s="415"/>
      <c r="AH50" s="415"/>
      <c r="AI50" s="415"/>
      <c r="AJ50" s="415"/>
      <c r="AK50" s="415"/>
      <c r="AL50" s="415"/>
      <c r="AM50" s="415"/>
      <c r="AN50" s="415"/>
      <c r="AO50" s="60"/>
      <c r="AP50" s="60"/>
    </row>
    <row r="51" spans="2:49" x14ac:dyDescent="0.3">
      <c r="B51" s="1"/>
      <c r="C51" s="361" t="s">
        <v>12</v>
      </c>
      <c r="D51" s="361"/>
      <c r="E51" s="361"/>
      <c r="F51" s="361"/>
      <c r="G51" s="1" t="s">
        <v>5</v>
      </c>
      <c r="H51" s="416" t="str">
        <f>IF(ISBLANK('Basic Information'!H31)," ",'Basic Information'!H31)</f>
        <v xml:space="preserve"> </v>
      </c>
      <c r="I51" s="416"/>
      <c r="J51" s="416"/>
      <c r="K51" s="416"/>
      <c r="L51" s="416"/>
      <c r="M51" s="416"/>
      <c r="N51" s="416"/>
      <c r="O51" s="416"/>
      <c r="P51" s="416"/>
      <c r="Q51" s="1"/>
      <c r="R51" s="1"/>
      <c r="S51" s="1"/>
      <c r="T51" s="1"/>
      <c r="U51" s="1"/>
      <c r="V51" s="1"/>
      <c r="W51" s="1"/>
      <c r="X51" s="1"/>
      <c r="Y51" s="1"/>
      <c r="Z51" s="1"/>
      <c r="AA51" s="1"/>
      <c r="AB51" s="1"/>
      <c r="AC51" s="344" t="s">
        <v>51</v>
      </c>
      <c r="AD51" s="344"/>
      <c r="AE51" s="344"/>
      <c r="AF51" s="344"/>
      <c r="AG51" s="344"/>
      <c r="AH51" s="344"/>
      <c r="AI51" s="344"/>
      <c r="AJ51" s="344"/>
      <c r="AK51" s="344"/>
      <c r="AL51" s="344"/>
      <c r="AM51" s="344"/>
      <c r="AN51" s="344"/>
      <c r="AO51" s="5"/>
      <c r="AP51" s="5"/>
    </row>
    <row r="52" spans="2:49" x14ac:dyDescent="0.3">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9" ht="6.75" customHeight="1" x14ac:dyDescent="0.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9" ht="6.75" customHeight="1" x14ac:dyDescent="0.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9" ht="9" customHeight="1" x14ac:dyDescent="0.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9" ht="0.75" customHeight="1" x14ac:dyDescent="0.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9" ht="16.5" customHeight="1" x14ac:dyDescent="0.3">
      <c r="B57" s="1"/>
      <c r="C57" s="1"/>
      <c r="D57" s="1"/>
      <c r="E57" s="1"/>
      <c r="F57" s="1"/>
      <c r="G57" s="1"/>
      <c r="H57" s="1"/>
      <c r="I57" s="1"/>
      <c r="J57" s="1"/>
      <c r="K57" s="1"/>
      <c r="L57" s="1"/>
      <c r="M57" s="1"/>
      <c r="N57" s="1"/>
      <c r="O57" s="1"/>
      <c r="P57" s="1"/>
      <c r="Q57" s="1"/>
      <c r="R57" s="444" t="s">
        <v>56</v>
      </c>
      <c r="S57" s="445"/>
      <c r="T57" s="445"/>
      <c r="U57" s="445"/>
      <c r="V57" s="445"/>
      <c r="W57" s="445"/>
      <c r="X57" s="445"/>
      <c r="Y57" s="64"/>
      <c r="Z57" s="1"/>
      <c r="AA57" s="1"/>
      <c r="AB57" s="1"/>
      <c r="AC57" s="1"/>
      <c r="AD57" s="1"/>
      <c r="AE57" s="1"/>
      <c r="AF57" s="1"/>
      <c r="AG57" s="1"/>
      <c r="AH57" s="1"/>
      <c r="AI57" s="1"/>
      <c r="AJ57" s="1"/>
      <c r="AK57" s="1"/>
      <c r="AL57" s="1"/>
      <c r="AM57" s="1"/>
      <c r="AN57" s="1"/>
      <c r="AO57" s="1"/>
      <c r="AP57" s="1"/>
    </row>
    <row r="58" spans="2:49" x14ac:dyDescent="0.3">
      <c r="B58" s="1"/>
      <c r="C58" s="1"/>
      <c r="D58" s="1"/>
      <c r="E58" s="1"/>
      <c r="F58" s="1"/>
      <c r="G58" s="1"/>
      <c r="H58" s="1"/>
      <c r="I58" s="1"/>
      <c r="J58" s="1"/>
      <c r="K58" s="1"/>
      <c r="L58" s="1"/>
      <c r="M58" s="1"/>
      <c r="N58" s="1"/>
      <c r="O58" s="347" t="s">
        <v>57</v>
      </c>
      <c r="P58" s="347"/>
      <c r="Q58" s="347"/>
      <c r="R58" s="347"/>
      <c r="S58" s="347"/>
      <c r="T58" s="347"/>
      <c r="U58" s="347"/>
      <c r="V58" s="347"/>
      <c r="W58" s="347"/>
      <c r="X58" s="347"/>
      <c r="Y58" s="347"/>
      <c r="Z58" s="347"/>
      <c r="AA58" s="347"/>
      <c r="AB58" s="1"/>
      <c r="AC58" s="1"/>
      <c r="AD58" s="1"/>
      <c r="AE58" s="1"/>
      <c r="AF58" s="1"/>
      <c r="AG58" s="1"/>
      <c r="AH58" s="1"/>
      <c r="AI58" s="1"/>
      <c r="AJ58" s="1"/>
      <c r="AK58" s="1"/>
      <c r="AL58" s="1"/>
      <c r="AM58" s="1"/>
      <c r="AN58" s="1"/>
      <c r="AO58" s="1"/>
      <c r="AP58" s="1"/>
    </row>
    <row r="59" spans="2:49" ht="3.75" customHeight="1" x14ac:dyDescent="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9" x14ac:dyDescent="0.3">
      <c r="B60" s="1"/>
      <c r="C60" s="1"/>
      <c r="D60" s="1"/>
      <c r="E60" s="1"/>
      <c r="F60" s="1"/>
      <c r="G60" s="1"/>
      <c r="H60" s="1"/>
      <c r="I60" s="1"/>
      <c r="J60" s="1"/>
      <c r="K60" s="1"/>
      <c r="L60" s="1"/>
      <c r="M60" s="385" t="s">
        <v>58</v>
      </c>
      <c r="N60" s="108"/>
      <c r="O60" s="108"/>
      <c r="P60" s="108"/>
      <c r="Q60" s="108"/>
      <c r="R60" s="108"/>
      <c r="S60" s="108"/>
      <c r="T60" s="108"/>
      <c r="U60" s="108"/>
      <c r="V60" s="108"/>
      <c r="W60" s="108"/>
      <c r="X60" s="108"/>
      <c r="Y60" s="108"/>
      <c r="Z60" s="108"/>
      <c r="AA60" s="108"/>
      <c r="AB60" s="108"/>
      <c r="AC60" s="108"/>
      <c r="AD60" s="1"/>
      <c r="AE60" s="1"/>
      <c r="AF60" s="1"/>
      <c r="AG60" s="1"/>
      <c r="AH60" s="1"/>
      <c r="AI60" s="1"/>
      <c r="AJ60" s="1"/>
      <c r="AK60" s="1"/>
      <c r="AL60" s="1"/>
      <c r="AM60" s="1"/>
      <c r="AN60" s="1"/>
      <c r="AO60" s="1"/>
      <c r="AP60" s="1"/>
    </row>
    <row r="61" spans="2:49" ht="6" customHeight="1" x14ac:dyDescent="0.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9" ht="13.5" customHeight="1" x14ac:dyDescent="0.3">
      <c r="B62" s="1"/>
      <c r="C62" s="390">
        <v>1</v>
      </c>
      <c r="D62" s="419" t="s">
        <v>59</v>
      </c>
      <c r="E62" s="420"/>
      <c r="F62" s="420"/>
      <c r="G62" s="420"/>
      <c r="H62" s="420"/>
      <c r="I62" s="420"/>
      <c r="J62" s="420"/>
      <c r="K62" s="420"/>
      <c r="L62" s="420"/>
      <c r="M62" s="420"/>
      <c r="N62" s="420"/>
      <c r="O62" s="420"/>
      <c r="P62" s="420"/>
      <c r="Q62" s="420"/>
      <c r="R62" s="420"/>
      <c r="S62" s="420"/>
      <c r="T62" s="420"/>
      <c r="U62" s="420"/>
      <c r="V62" s="420"/>
      <c r="W62" s="420"/>
      <c r="X62" s="420"/>
      <c r="Y62" s="420"/>
      <c r="Z62" s="420"/>
      <c r="AA62" s="420"/>
      <c r="AB62" s="420"/>
      <c r="AC62" s="134"/>
      <c r="AD62" s="134"/>
      <c r="AE62" s="256"/>
      <c r="AF62" s="424">
        <f>IF(AND(AF27&lt;&gt;0,AF27&lt;=AP27,'Income Tax Proforma - New Schem'!AV62&lt;&gt;0,('Income Tax Proforma - New Schem'!AV62) &gt;=AF64),(('Income Tax Proforma - New Schem'!AV62) -AF64),0)</f>
        <v>0</v>
      </c>
      <c r="AG62" s="425"/>
      <c r="AH62" s="425"/>
      <c r="AI62" s="425"/>
      <c r="AJ62" s="425"/>
      <c r="AK62" s="425"/>
      <c r="AL62" s="425"/>
      <c r="AM62" s="425"/>
      <c r="AN62" s="426"/>
      <c r="AO62" s="1"/>
      <c r="AP62" s="1"/>
      <c r="AQ62" s="132" t="str">
        <f>IF(AND(AF27&lt;&gt;0,'Income Tax Proforma - New Schem'!AV62=0),"Since your income is not taxable for this tax year, Form 10E is not required.","")</f>
        <v/>
      </c>
      <c r="AR62" s="132"/>
      <c r="AS62" s="132"/>
      <c r="AT62" s="132"/>
      <c r="AU62" s="132"/>
      <c r="AV62" s="132"/>
      <c r="AW62" s="132"/>
    </row>
    <row r="63" spans="2:49" ht="12" customHeight="1" x14ac:dyDescent="0.3">
      <c r="B63" s="1"/>
      <c r="C63" s="391"/>
      <c r="D63" s="421"/>
      <c r="E63" s="422"/>
      <c r="F63" s="422"/>
      <c r="G63" s="422"/>
      <c r="H63" s="422"/>
      <c r="I63" s="422"/>
      <c r="J63" s="422"/>
      <c r="K63" s="422"/>
      <c r="L63" s="422"/>
      <c r="M63" s="422"/>
      <c r="N63" s="422"/>
      <c r="O63" s="422"/>
      <c r="P63" s="422"/>
      <c r="Q63" s="422"/>
      <c r="R63" s="422"/>
      <c r="S63" s="422"/>
      <c r="T63" s="422"/>
      <c r="U63" s="422"/>
      <c r="V63" s="422"/>
      <c r="W63" s="422"/>
      <c r="X63" s="422"/>
      <c r="Y63" s="422"/>
      <c r="Z63" s="422"/>
      <c r="AA63" s="422"/>
      <c r="AB63" s="422"/>
      <c r="AC63" s="422"/>
      <c r="AD63" s="422"/>
      <c r="AE63" s="423"/>
      <c r="AF63" s="427"/>
      <c r="AG63" s="428"/>
      <c r="AH63" s="428"/>
      <c r="AI63" s="428"/>
      <c r="AJ63" s="428"/>
      <c r="AK63" s="428"/>
      <c r="AL63" s="428"/>
      <c r="AM63" s="428"/>
      <c r="AN63" s="429"/>
      <c r="AO63" s="1"/>
      <c r="AP63" s="1"/>
      <c r="AQ63" s="132"/>
      <c r="AR63" s="132"/>
      <c r="AS63" s="132"/>
      <c r="AT63" s="132"/>
      <c r="AU63" s="132"/>
      <c r="AV63" s="132"/>
      <c r="AW63" s="132"/>
    </row>
    <row r="64" spans="2:49" ht="10.5" customHeight="1" x14ac:dyDescent="0.3">
      <c r="B64" s="1"/>
      <c r="C64" s="390">
        <v>2</v>
      </c>
      <c r="D64" s="419" t="s">
        <v>60</v>
      </c>
      <c r="E64" s="420"/>
      <c r="F64" s="420"/>
      <c r="G64" s="420"/>
      <c r="H64" s="420"/>
      <c r="I64" s="420"/>
      <c r="J64" s="420"/>
      <c r="K64" s="420"/>
      <c r="L64" s="420"/>
      <c r="M64" s="420"/>
      <c r="N64" s="420"/>
      <c r="O64" s="420"/>
      <c r="P64" s="420"/>
      <c r="Q64" s="420"/>
      <c r="R64" s="420"/>
      <c r="S64" s="420"/>
      <c r="T64" s="420"/>
      <c r="U64" s="420"/>
      <c r="V64" s="420"/>
      <c r="W64" s="420"/>
      <c r="X64" s="420"/>
      <c r="Y64" s="420"/>
      <c r="Z64" s="420"/>
      <c r="AA64" s="420"/>
      <c r="AB64" s="420"/>
      <c r="AC64" s="134"/>
      <c r="AD64" s="134"/>
      <c r="AE64" s="256"/>
      <c r="AF64" s="424">
        <f>IF(AND(AF27&lt;=AP27,'Income Tax Proforma - New Schem'!AV62&lt;&gt;0),AF27,0)</f>
        <v>0</v>
      </c>
      <c r="AG64" s="425"/>
      <c r="AH64" s="425"/>
      <c r="AI64" s="425"/>
      <c r="AJ64" s="425"/>
      <c r="AK64" s="425"/>
      <c r="AL64" s="425"/>
      <c r="AM64" s="425"/>
      <c r="AN64" s="426"/>
      <c r="AO64" s="1"/>
      <c r="AP64" s="1"/>
    </row>
    <row r="65" spans="2:49" ht="12.75" customHeight="1" x14ac:dyDescent="0.3">
      <c r="B65" s="1"/>
      <c r="C65" s="391"/>
      <c r="D65" s="421"/>
      <c r="E65" s="422"/>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c r="AD65" s="422"/>
      <c r="AE65" s="423"/>
      <c r="AF65" s="427"/>
      <c r="AG65" s="428"/>
      <c r="AH65" s="428"/>
      <c r="AI65" s="428"/>
      <c r="AJ65" s="428"/>
      <c r="AK65" s="428"/>
      <c r="AL65" s="428"/>
      <c r="AM65" s="428"/>
      <c r="AN65" s="429"/>
      <c r="AO65" s="1"/>
      <c r="AP65" s="1"/>
    </row>
    <row r="66" spans="2:49" ht="15.75" customHeight="1" x14ac:dyDescent="0.3">
      <c r="B66" s="1"/>
      <c r="C66" s="390">
        <v>3</v>
      </c>
      <c r="D66" s="432" t="s">
        <v>61</v>
      </c>
      <c r="E66" s="433"/>
      <c r="F66" s="433"/>
      <c r="G66" s="433"/>
      <c r="H66" s="433"/>
      <c r="I66" s="433"/>
      <c r="J66" s="433"/>
      <c r="K66" s="433"/>
      <c r="L66" s="433"/>
      <c r="M66" s="433"/>
      <c r="N66" s="433"/>
      <c r="O66" s="433"/>
      <c r="P66" s="433"/>
      <c r="Q66" s="433"/>
      <c r="R66" s="433"/>
      <c r="S66" s="433"/>
      <c r="T66" s="433"/>
      <c r="U66" s="433"/>
      <c r="V66" s="433"/>
      <c r="W66" s="433"/>
      <c r="X66" s="433"/>
      <c r="Y66" s="433"/>
      <c r="Z66" s="433"/>
      <c r="AA66" s="433"/>
      <c r="AB66" s="433"/>
      <c r="AC66" s="434"/>
      <c r="AD66" s="434"/>
      <c r="AE66" s="435"/>
      <c r="AF66" s="424">
        <f>SUM(AF62,AF64)</f>
        <v>0</v>
      </c>
      <c r="AG66" s="425"/>
      <c r="AH66" s="425"/>
      <c r="AI66" s="425"/>
      <c r="AJ66" s="425"/>
      <c r="AK66" s="425"/>
      <c r="AL66" s="425"/>
      <c r="AM66" s="425"/>
      <c r="AN66" s="426"/>
      <c r="AO66" s="1"/>
      <c r="AP66" s="1"/>
    </row>
    <row r="67" spans="2:49" x14ac:dyDescent="0.3">
      <c r="B67" s="1"/>
      <c r="C67" s="430"/>
      <c r="D67" s="436"/>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437"/>
      <c r="AF67" s="441"/>
      <c r="AG67" s="442"/>
      <c r="AH67" s="442"/>
      <c r="AI67" s="442"/>
      <c r="AJ67" s="442"/>
      <c r="AK67" s="442"/>
      <c r="AL67" s="442"/>
      <c r="AM67" s="442"/>
      <c r="AN67" s="443"/>
      <c r="AO67" s="1"/>
      <c r="AP67" s="1"/>
    </row>
    <row r="68" spans="2:49" ht="12" customHeight="1" x14ac:dyDescent="0.3">
      <c r="B68" s="1"/>
      <c r="C68" s="431"/>
      <c r="D68" s="438"/>
      <c r="E68" s="439"/>
      <c r="F68" s="439"/>
      <c r="G68" s="439"/>
      <c r="H68" s="439"/>
      <c r="I68" s="439"/>
      <c r="J68" s="439"/>
      <c r="K68" s="439"/>
      <c r="L68" s="439"/>
      <c r="M68" s="439"/>
      <c r="N68" s="439"/>
      <c r="O68" s="439"/>
      <c r="P68" s="439"/>
      <c r="Q68" s="439"/>
      <c r="R68" s="439"/>
      <c r="S68" s="439"/>
      <c r="T68" s="439"/>
      <c r="U68" s="439"/>
      <c r="V68" s="439"/>
      <c r="W68" s="439"/>
      <c r="X68" s="439"/>
      <c r="Y68" s="439"/>
      <c r="Z68" s="439"/>
      <c r="AA68" s="439"/>
      <c r="AB68" s="439"/>
      <c r="AC68" s="439"/>
      <c r="AD68" s="439"/>
      <c r="AE68" s="440"/>
      <c r="AF68" s="427"/>
      <c r="AG68" s="428"/>
      <c r="AH68" s="428"/>
      <c r="AI68" s="428"/>
      <c r="AJ68" s="428"/>
      <c r="AK68" s="428"/>
      <c r="AL68" s="428"/>
      <c r="AM68" s="428"/>
      <c r="AN68" s="429"/>
      <c r="AO68" s="1"/>
      <c r="AP68" s="1"/>
    </row>
    <row r="69" spans="2:49" ht="11.25" customHeight="1" x14ac:dyDescent="0.3">
      <c r="B69" s="1"/>
      <c r="C69" s="390">
        <v>4</v>
      </c>
      <c r="D69" s="419" t="s">
        <v>62</v>
      </c>
      <c r="E69" s="420"/>
      <c r="F69" s="420"/>
      <c r="G69" s="420"/>
      <c r="H69" s="420"/>
      <c r="I69" s="420"/>
      <c r="J69" s="420"/>
      <c r="K69" s="420"/>
      <c r="L69" s="420"/>
      <c r="M69" s="420"/>
      <c r="N69" s="420"/>
      <c r="O69" s="420"/>
      <c r="P69" s="420"/>
      <c r="Q69" s="420"/>
      <c r="R69" s="420"/>
      <c r="S69" s="420"/>
      <c r="T69" s="420"/>
      <c r="U69" s="420"/>
      <c r="V69" s="420"/>
      <c r="W69" s="420"/>
      <c r="X69" s="420"/>
      <c r="Y69" s="420"/>
      <c r="Z69" s="420"/>
      <c r="AA69" s="420"/>
      <c r="AB69" s="420"/>
      <c r="AC69" s="134"/>
      <c r="AD69" s="134"/>
      <c r="AE69" s="256"/>
      <c r="AF69" s="424">
        <f>SUM(AQ70,AR70)</f>
        <v>0</v>
      </c>
      <c r="AG69" s="425"/>
      <c r="AH69" s="425"/>
      <c r="AI69" s="425"/>
      <c r="AJ69" s="425"/>
      <c r="AK69" s="425"/>
      <c r="AL69" s="425"/>
      <c r="AM69" s="425"/>
      <c r="AN69" s="426"/>
      <c r="AO69" s="1"/>
      <c r="AP69" s="1"/>
      <c r="AQ69" s="6">
        <f>IF( AND(OR(AA25="2006-2007",AA25="2007-2008"),U22&lt;&gt;"Female"),IF( MROUND(AF66,10)&lt;= 100000, 0, IF(AND(MROUND(AF66,10)&gt; 100000,MROUND(AF66,10)&lt;= 150000),  ROUND(ABS(MROUND(AF66,10)- 100000)*0.1,0), IF(AND(MROUND(AF66,10)&gt; 150000, MROUND(AF66,10)&lt;= 250000), ROUND(5000+ ABS(MROUND(AF66,10)- 150000)*0.2,0),IF(MROUND(AF66,10)&gt; 250000,  ROUND(25000+ABS(MROUND(AF66,10)- 250000)*0.3,0),  0)))),IF(AND(OR(AA25="2006-2007",AA25="2007-2008"),U22="Female"),IF(MROUND(AF66,10)&lt;= 135000, 0, IF(AND(MROUND(AF66,10)&gt; 135000, MROUND(AF66,10)&lt;= 150000), ROUND(ABS(MROUND(AF66,10)- 135000)*0.1,0), IF(AND(MROUND(AF66,10)&gt; 150000, MROUND(AF66,10)&lt;= 250000), ROUND(1500+ ABS(MROUND(AF66,10)- 150000)*0.2,0),  IF(MROUND(AF66,10)&gt; 250000, ROUND(21500+ABS(MROUND(AF66,10)- 250000)*0.3,0),0)))),IF(AND(AA25="2008-2009",U22&lt;&gt;"Female"), IF(MROUND(AF66,10)&lt;= 110000,  0,  IF(AND(MROUND(AF66,10)&gt; 110000, MROUND(AF66,10)&lt;= 150000),     ROUND(ABS(MROUND(AF66,10)- 110000)*0.1,0),  IF(AND(MROUND(AF66,10)&gt; 150000, MROUND(AF66,10)&lt;= 250000),  ROUND(4000+ ABS(MROUND(AF66,10)- 150000)*0.2,0),   IF(MROUND(AF66,10)&gt; 250000,   ROUND(24000+ABS(MROUND(AF66,10)- 250000)*0.3,0),0)))),IF(AND(AA25="2008-2009",U22="Female"), IF(MROUND(AF66,10)&lt;= 145000, 0, IF(AND(MROUND(AF66,10)&gt; 145000, MROUND(AF66,10)&lt;= 150000),     ROUND(ABS(MROUND(AF66,10)- 145000)*0.1,0),  IF(AND(MROUND(AF66,10)&gt; 150000, MROUND(AF66,10)&lt;= 250000),  ROUND(500+ ABS(MROUND(AF66,10)- 150000)*0.2,0),  IF(MROUND(AF66,10)&gt; 250000, ROUND(20500+ABS(MROUND(AF66,10)- 250000)*0.3,0),0)))), IF(AND(AA25="2009-2010",U22&lt;&gt;"Female"), IF(MROUND(AF66,10)&lt;= 150000, 0, IF(AND(MROUND(AF66,10)&gt; 150000, MROUND(AF66,10)&lt;= 300000), ROUND(ABS(MROUND(AF66,10)- 150000)*0.1,0), IF(AND(MROUND(AF66,10)&gt; 300000, MROUND(AF66,10)&lt;= 500000),  ROUND(15000+ ABS(MROUND(AF66,10)- 300000)*0.2,0),  IF(MROUND(AF66,10)&gt; 500000,  ROUND(55000+ABS(MROUND(AF66,10)- 500000)*0.3,0),0)))), IF(AND(AA25="2009-2010",U22="Female"), IF(MROUND(AF66,10)&lt;= 180000, 0, IF(AND(MROUND(AF66,10)&gt; 180000, MROUND(AF66,10)&lt;= 300000), ROUND(ABS(MROUND(AF66,10)- 180000)*0.1,0), IF(AND(MROUND(AF66,10)&gt; 300000, MROUND(AF66,10)&lt;= 500000), ROUND(12000+ ABS(MROUND(AF66,10)- 300000)*0.2,0),  IF(MROUND(AF66,10)&gt; 500000,  ROUND(52000+ABS(MROUND(AF66,10)- 500000)*0.3,0),0)))), IF(AND(AA25="2010-2011", U22&lt;&gt;"Female"), IF(MROUND(AF66,10)&lt;= 160000, 0, IF(AND(MROUND(AF66,10)&gt; 160000, MROUND(AF66,10)&lt;= 300000),ROUND(ABS(MROUND(AF66,10)- 160000)*0.1,0), IF(AND(MROUND(AF66,10)&gt; 300000, MROUND(AF66,10)&lt;= 500000),ROUND(14000+ ABS(MROUND(AF66,10)- 300000)*0.2,0),  IF(MROUND(AF66,10)&gt; 500000, ROUND(54000+ABS(MROUND(AF66,10)- 500000)*0.3,0),0)))),IF(AND(AA25="2010-2011",U22="Female"), IF(MROUND(AF66,10)&lt;= 190000, 0, IF(AND(MROUND(AF66,10)&gt; 190000, MROUND(AF66,10)&lt;= 300000),ROUND(ABS(MROUND(AF66,10)- 190000)*0.1,0), IF(AND(MROUND(AF66,10)&gt; 300000, MROUND(AF66,10)&lt;= 500000), ROUND(11000+ ABS(MROUND(AF66,10)- 300000)*0.2,0),IF(MROUND(AF66,10)&gt; 500000,  ROUND(51000+ABS(MROUND(AF66,10)- 500000)*0.3,0),0)))), IF(AND(AA25="2011-2012",U22&lt;&gt;"Female"), IF(MROUND(AF66,10)&lt;= 160000, 0, IF(AND(MROUND(AF66,10)&gt; 160000, MROUND(AF66,10)&lt;= 500000), ROUND(ABS(MROUND(AF66,10)- 160000)*0.1,0), IF(AND(MROUND(AF66,10)&gt; 500000, MROUND(AF66,10)&lt;= 800000), ROUND(34000+ ABS(MROUND(AF66,10)- 500000)*0.2,0),  IF(MROUND(AF66,10)&gt; 800000,  ROUND(94000+ABS(MROUND(AF66,10)- 800000)*0.3,0),0)))), IF(AND(OR(AA25="2011-2012",AA25="2012-2013"),U22="Female"), IF(MROUND(AF66,10)&lt;= 190000, 0, IF(AND(MROUND(AF66,10)&gt; 190000, MROUND(AF66,10)&lt;= 500000), ROUND(ABS(MROUND(AF66,10)- 190000)*0.1,0), IF(AND(MROUND(AF66,10)&gt; 500000, MROUND(AF66,10)&lt;= 800000),  ROUND(31000+ ABS(MROUND(AF66,10)- 500000)*0.2,0),  IF(MROUND(AF66,10)&gt; 800000,  ROUND(91000+ABS(MROUND(AF66,10)- 800000)*0.3,0),0)))), IF(AND(AA25="2012-2013", U22&lt;&gt;"Female"), IF(MROUND(AF66,10)&lt;= 180000, 0, IF(AND(MROUND(AF66,10)&gt; 180000, MROUND(AF66,10)&lt;= 500000), ROUND(ABS(MROUND(AF66,10)- 180000)*0.1,0), IF(AND(MROUND(AF66,10)&gt; 500000, MROUND(AF66,10)&lt;= 800000),  ROUND(32000+ ABS(MROUND(AF66,10)- 500000)*0.2,0),  IF(MROUND(AF66,10)&gt; 800000,  ROUND(92000+ABS(MROUND(AF66,10)- 800000)*0.3,0),0)))), IF(OR(AA25="2013-2014",AA25="2014-2015"), IF(MROUND(AF66,10)&lt;= 200000, 0, IF(AND(MROUND(AF66,10)&gt; 200000, MROUND(AF66,10)&lt;= 500000), ROUND(ABS(MROUND(AF66,10)- 200000)*0.1,0), IF(AND(MROUND(AF66,10)&gt; 500000, MROUND(AF66,10)&lt;= 1000000),  ROUND(30000+ ABS(MROUND(AF66,10)- 500000)*0.2,0),  IF(MROUND(AF66,10)&gt; 1000000,  ROUND(130000+ABS(MROUND(AF66,10)- 1000000)*0.3,0),0)))), IF(OR(AA25="2015-2016", AA25="2016-2017",AA25="2017-2018"), IF(MROUND(AF66,10)&lt;= 250000, 0, IF(AND(MROUND(AF66,10)&gt; 250000, MROUND(AF66,10)&lt;= 500000), ROUND(ABS(MROUND(AF66,10)- 250000)*0.1,0), IF(AND(MROUND(AF66,10)&gt; 500000, MROUND(AF66,10)&lt;= 1000000),  ROUND(25000+ ABS(MROUND(AF66,10)- 500000)*0.2,0),  IF(MROUND(AF66,10)&gt; 1000000,  ROUND(125000+ABS(MROUND(AF66,10)- 1000000)*0.3,0), 0)))), IF(OR(AA25="2018-2019", AA25="2019-2020",AA25="2020-2021",AA25="2021-2022"), IF(MROUND(AF66,10)&lt;= 250000, 0, IF(AND(MROUND(AF66,10)&gt; 250000, MROUND(AF66,10)&lt;= 500000), ROUND(ABS(MROUND(AF66,10)- 250000)*0.05,0), IF(AND(MROUND(AF66,10)&gt; 500000, MROUND(AF66,10)&lt;= 1000000),  ROUND(12500+ ABS(MROUND(AF66,10)- 500000)*0.2,0),  IF(MROUND(AF66,10)&gt; 1000000,  ROUND(112500+ABS(MROUND(AF66,10)- 1000000)*0.3,0), 0)))),IF(OR(AA25="2022-2023",AA25="2023-2024"), IF(MROUND(AF66,10)&lt;= 250000, 0, IF(AND(MROUND(AF66,10)&gt; 250000, MROUND(AF66,10)&lt;= 500000), ROUND(ABS(MROUND(AF66,10)- 250000)*0.05,0), IF(AND(MROUND(AF66,10)&gt; 500000, MROUND(AF66,10)&lt;= 750000),  ROUND(12500+ ABS(MROUND(AF66,10)- 500000)*0.1,0), IF(AND(MROUND(AF66,10)&gt; 750000, MROUND(AF66,10)&lt;= 1000000),  ROUND(37500+ ABS(MROUND(AF66,10)- 750000)*0.15,0),IF(AND(MROUND(AF66,10)&gt; 1000000, MROUND(AF66,10)&lt;= 1250000),  ROUND(75000+ ABS(MROUND(AF66,10)- 1000000)*0.2,0),IF(AND(MROUND(AF66,10)&gt; 1250000, MROUND(AF66,10)&lt;= 1500000),  ROUND(125000+ ABS(MROUND(AF66,10)- 1250000)*0.25,0), IF(MROUND(AF66,10)&gt; 1500000,  ROUND(187500+ABS(MROUND(AF66,10)- 1500000)*0.3,0), 0))))))),IF(OR(AA25="2024-2025"), IF(MROUND(AF66,10)&lt;= 300000, 0, IF(AND(MROUND(AF66,10)&gt; 300000, MROUND(AF66,10)&lt;= 600000), ROUND(ABS(MROUND(AF66,10)- 300000)*0.05,0), IF(AND(MROUND(AF66,10)&gt; 600000, MROUND(AF66,10)&lt;= 900000),  ROUND(15000+ ABS(MROUND(AF66,10)- 600000)*0.1,0), IF(AND(MROUND(AF66,10)&gt; 900000, MROUND(AF66,10)&lt;= 1200000),  ROUND(45000+ ABS(MROUND(AF66,10)- 900000)*0.15,0),IF(AND(MROUND(AF66,10)&gt; 1200000, MROUND(AF66,10)&lt;= 1500000),  ROUND(90000+ ABS(MROUND(AF66,10)- 1200000)*0.2,0),IF(MROUND(AF66,10)&gt; 1500000,  ROUND(150000+ ABS(MROUND(AF66,10)- 1500000)*0.3,0), 0)))))),IF(OR(AA25="2025-2026_old"), IF(MROUND(AF66,10)&lt;= 300000, 0, IF(AND(MROUND(AF66,10)&gt; 300000, MROUND(AF66,10)&lt;= 700000), ROUND(ABS(MROUND(AF66,10)- 300000)*0.05,0), IF(AND(MROUND(AF66,10)&gt; 700000, MROUND(AF66,10)&lt;= 1000000),  ROUND(20000+ ABS(MROUND(AF66,10)- 700000)*0.1,0), IF(AND(MROUND(AF66,10)&gt; 1000000, MROUND(AF66,10)&lt;= 1200000),  ROUND(50000+ ABS(MROUND(AF66,10)- 1000000)*0.15,0),IF(AND(MROUND(AF66,10)&gt; 1200000, MROUND(AF66,10)&lt;= 1500000),  ROUND(80000+ ABS(MROUND(AF66,10)- 1200000)*0.2,0),IF(MROUND(AF66,10)&gt; 1500000,  ROUND(140000+ ABS(MROUND(AF66,10)- 1500000)*0.3,0), 0)))))),IF(OR(AA25="2025-2026"), IF(MROUND(AF66,10)&lt;= 400000, 0, IF(AND(MROUND(AF66,10)&gt; 400000, MROUND(AF66,10)&lt;= 800000), ROUND(ABS(MROUND(AF66,10)- 400000)*0.05,0), IF(AND(MROUND(AF66,10)&gt; 800000, MROUND(AF66,10)&lt;= 1200000),  ROUND(20000+ ABS(MROUND(AF66,10)- 800000)*0.1,0), IF(AND(MROUND(AF66,10)&gt; 1200000, MROUND(AF66,10)&lt;= 1600000),  ROUND(60000+ ABS(MROUND(AF66,10)- 1200000)*0.15,0),IF(AND(MROUND(AF66,10)&gt; 1600000, MROUND(AF66,10)&lt;= 2000000),  ROUND(120000+ ABS(MROUND(AF66,10)- 1600000)*0.2,0),IF(AND(MROUND(AF66,10)&gt; 2000000, MROUND(AF66,10)&lt;= 2400000),  ROUND(200000+ ABS(MROUND(AF66,10)- 2000000)*0.25,0),IF(MROUND(AF66,10)&gt; 2400000,  ROUND(300000+ ABS(MROUND(AF66,10)- 2400000)*0.3,0), 0))))))),0))))))))))))))))))</f>
        <v>0</v>
      </c>
      <c r="AR69" s="6">
        <f>IF(AF66&gt;0,IF(OR(AA25="2014-2015",AA25="2015-2016",AA25="2016-2017"),IF(AND(MROUND(AF66,10)&lt;=500000,MROUND(AF66,10)&lt;&gt;0),IF(AQ69&lt;=2000, AQ69,2000),0), IF(AA25="2017-2018",IF(AND(MROUND(AF66,10)&lt;=500000,MROUND(AF66,10)&lt;&gt;0),IF(AQ69&lt;=5000, AQ69,5000),0),IF(OR(AA25="2018-2019",AA25="2019-2020"),IF(AND(MROUND(AF66,10)&lt;=350000,MROUND(AF66,10)&lt;&gt;0),IF(AQ69&lt;=2500, AQ69,2500),0),IF(OR(AA25="2020-2021",AA25="2021-2022",AA25="2022-2023",AA25="2023-2024"),IF(AND(MROUND(AF66,10)&lt;=500000,MROUND(AF66,10)&lt;&gt;0),IF(AQ69&lt;=12500, AQ69,12500),0),IF(OR(AA25="2024-2025"),IF(AND(MROUND(AF66,10)&lt;=700000,MROUND(AF66,10)&lt;&gt;0),IF(AQ69&lt;=25000, AQ69,25000),IF((AF66-700000)&lt;=AQ69,AQ69-(AF66-700000),0)),IF(OR(AA25="2025-2026_old"),IF(AND(MROUND(AF66,10)&lt;=700000,MROUND(AF66,10)&lt;&gt;0),IF(AQ69&lt;=20000, AQ69,20000),IF((AF66-700000)&lt;=AQ69,AQ69-(AF66-700000),0)),IF(OR(AA25="2025-2026"),IF(AND(MROUND(AF66,10)&lt;=1200000,MROUND(AF66,10)&lt;&gt;0),IF(AQ69&lt;=60000, AQ69,60000),IF((AF66-1200000)&lt;=AQ69,AQ69-(AF66-1200000),0)),0))))))),0)</f>
        <v>0</v>
      </c>
      <c r="AU69" s="7"/>
    </row>
    <row r="70" spans="2:49" ht="12.75" customHeight="1" x14ac:dyDescent="0.3">
      <c r="B70" s="1"/>
      <c r="C70" s="391"/>
      <c r="D70" s="421"/>
      <c r="E70" s="422"/>
      <c r="F70" s="422"/>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3"/>
      <c r="AF70" s="427"/>
      <c r="AG70" s="428"/>
      <c r="AH70" s="428"/>
      <c r="AI70" s="428"/>
      <c r="AJ70" s="428"/>
      <c r="AK70" s="428"/>
      <c r="AL70" s="428"/>
      <c r="AM70" s="428"/>
      <c r="AN70" s="429"/>
      <c r="AO70" s="1"/>
      <c r="AP70" s="1"/>
      <c r="AQ70" s="6">
        <f>IF((AQ69&lt;AR69),0,ROUND(ABS(AQ69-AR69),0))</f>
        <v>0</v>
      </c>
      <c r="AR70" s="6">
        <f>IF(OR(AA25="2006-2007",AA25="2007-2008"),ROUND(AQ70*0.02,0),IF(OR(AA25="2019-2020",AA25="2020-2021",AA25="2021-2022",AA25="2022-2023",AA25="2023-2024",AA25="2024-2025",AA25="2025-2026"),ROUND(AQ70*0.04,0),ROUND(AQ70*0.03,0)))</f>
        <v>0</v>
      </c>
    </row>
    <row r="71" spans="2:49" ht="10.5" customHeight="1" x14ac:dyDescent="0.3">
      <c r="B71" s="1"/>
      <c r="C71" s="390">
        <v>5</v>
      </c>
      <c r="D71" s="419" t="s">
        <v>63</v>
      </c>
      <c r="E71" s="420"/>
      <c r="F71" s="420"/>
      <c r="G71" s="420"/>
      <c r="H71" s="420"/>
      <c r="I71" s="420"/>
      <c r="J71" s="420"/>
      <c r="K71" s="420"/>
      <c r="L71" s="420"/>
      <c r="M71" s="420"/>
      <c r="N71" s="420"/>
      <c r="O71" s="420"/>
      <c r="P71" s="420"/>
      <c r="Q71" s="420"/>
      <c r="R71" s="420"/>
      <c r="S71" s="420"/>
      <c r="T71" s="420"/>
      <c r="U71" s="420"/>
      <c r="V71" s="420"/>
      <c r="W71" s="420"/>
      <c r="X71" s="420"/>
      <c r="Y71" s="420"/>
      <c r="Z71" s="420"/>
      <c r="AA71" s="420"/>
      <c r="AB71" s="420"/>
      <c r="AC71" s="134"/>
      <c r="AD71" s="134"/>
      <c r="AE71" s="256"/>
      <c r="AF71" s="424">
        <f>SUM(AQ72,AR72)</f>
        <v>0</v>
      </c>
      <c r="AG71" s="425"/>
      <c r="AH71" s="425"/>
      <c r="AI71" s="425"/>
      <c r="AJ71" s="425"/>
      <c r="AK71" s="425"/>
      <c r="AL71" s="425"/>
      <c r="AM71" s="425"/>
      <c r="AN71" s="426"/>
      <c r="AO71" s="1"/>
      <c r="AP71" s="1"/>
      <c r="AQ71" s="6">
        <f>IF(AF62&gt;0,IF( AND(OR(AA25="2006-2007",AA25="2007-2008"),U22&lt;&gt;"Female"),IF( MROUND(AF62,10)&lt;= 100000, 0, IF(AND(MROUND(AF62,10)&gt; 100000,MROUND(AF62,10)&lt;= 150000),  ROUND(ABS(MROUND(AF62,10)- 100000)*0.1,0), IF(AND(MROUND(AF62,10)&gt; 150000, MROUND(AF62,10)&lt;= 250000), ROUND(5000+ ABS(MROUND(AF62,10)- 150000)*0.2,0),IF(MROUND(AF62,10)&gt; 250000,  ROUND(25000+ABS(MROUND(AF62,10)- 250000)*0.3,0),  0)))),IF(AND(OR(AA25="2006-2007",AA25="2007-2008"),U22="Female"),IF(MROUND(AF62,10)&lt;= 135000, 0, IF(AND(MROUND(AF62,10)&gt; 135000, MROUND(AF62,10)&lt;= 150000), ROUND(ABS(MROUND(AF62,10)- 135000)*0.1,0), IF(AND(MROUND(AF62,10)&gt; 150000, MROUND(AF62,10)&lt;= 250000), ROUND(1500+ ABS(MROUND(AF62,10)- 150000)*0.2,0),  IF(MROUND(AF62,10)&gt; 250000, ROUND(21500+ABS(MROUND(AF62,10)- 250000)*0.3,0),0)))),IF(AND(AA25="2008-2009",U22&lt;&gt;"Female"), IF(MROUND(AF62,10)&lt;= 110000,  0,  IF(AND(MROUND(AF62,10)&gt; 110000, MROUND(AF62,10)&lt;= 150000),     ROUND(ABS(MROUND(AF62,10)- 110000)*0.1,0),  IF(AND(MROUND(AF62,10)&gt; 150000, MROUND(AF62,10)&lt;= 250000),  ROUND(4000+ ABS(MROUND(AF62,10)- 150000)*0.2,0),   IF(MROUND(AF62,10)&gt; 250000,   ROUND(24000+ABS(MROUND(AF62,10)- 250000)*0.3,0),0)))),IF(AND(AA25="2008-2009",U22="Female"), IF(MROUND(AF62,10)&lt;= 145000, 0, IF(AND(MROUND(AF62,10)&gt; 145000, MROUND(AF62,10)&lt;= 150000),     ROUND(ABS(MROUND(AF62,10)- 145000)*0.1,0),  IF(AND(MROUND(AF62,10)&gt; 150000, MROUND(AF62,10)&lt;= 250000),  ROUND(500+ ABS(MROUND(AF62,10)- 150000)*0.2,0),  IF(MROUND(AF62,10)&gt; 250000, ROUND(20500+ABS(MROUND(AF62,10)- 250000)*0.3,0),0)))), IF(AND(AA25="2009-2010",U22&lt;&gt;"Female"), IF(MROUND(AF62,10)&lt;= 150000, 0, IF(AND(MROUND(AF62,10)&gt; 150000, MROUND(AF62,10)&lt;= 300000), ROUND(ABS(MROUND(AF62,10)- 150000)*0.1,0), IF(AND(MROUND(AF62,10)&gt; 300000, MROUND(AF62,10)&lt;= 500000),  ROUND(15000+ ABS(MROUND(AF62,10)- 300000)*0.2,0),  IF(MROUND(AF62,10)&gt; 500000,  ROUND(55000+ABS(MROUND(AF62,10)- 500000)*0.3,0),0)))), IF(AND(AA25="2009-2010",U22="Female"), IF(MROUND(AF62,10)&lt;= 180000, 0, IF(AND(MROUND(AF62,10)&gt; 180000, MROUND(AF62,10)&lt;= 300000), ROUND(ABS(MROUND(AF62,10)- 180000)*0.1,0), IF(AND(MROUND(AF62,10)&gt; 300000, MROUND(AF62,10)&lt;= 500000), ROUND(12000+ ABS(MROUND(AF62,10)- 300000)*0.2,0),  IF(MROUND(AF62,10)&gt; 500000,  ROUND(52000+ABS(MROUND(AF62,10)- 500000)*0.3,0),0)))), IF(AND(AA25="2010-2011", U22&lt;&gt;"Female"), IF(MROUND(AF62,10)&lt;= 160000, 0, IF(AND(MROUND(AF62,10)&gt; 160000, MROUND(AF62,10)&lt;= 300000),ROUND(ABS(MROUND(AF62,10)- 160000)*0.1,0), IF(AND(MROUND(AF62,10)&gt; 300000, MROUND(AF62,10)&lt;= 500000),ROUND(14000+ ABS(MROUND(AF62,10)- 300000)*0.2,0),  IF(MROUND(AF62,10)&gt; 500000, ROUND(54000+ABS(MROUND(AF62,10)- 500000)*0.3,0),0)))),IF(AND(AA25="2010-2011",U22="Female"), IF(MROUND(AF62,10)&lt;= 190000, 0, IF(AND(MROUND(AF62,10)&gt; 190000, MROUND(AF62,10)&lt;= 300000),ROUND(ABS(MROUND(AF62,10)- 190000)*0.1,0), IF(AND(MROUND(AF62,10)&gt; 300000, MROUND(AF62,10)&lt;= 500000), ROUND(11000+ ABS(MROUND(AF62,10)- 300000)*0.2,0),IF(MROUND(AF62,10)&gt; 500000,  ROUND(51000+ABS(MROUND(AF62,10)- 500000)*0.3,0),0)))), IF(AND(AA25="2011-2012",U22&lt;&gt;"Female"), IF(MROUND(AF62,10)&lt;= 160000, 0, IF(AND(MROUND(AF62,10)&gt; 160000, MROUND(AF62,10)&lt;= 500000), ROUND(ABS(MROUND(AF62,10)- 160000)*0.1,0), IF(AND(MROUND(AF62,10)&gt; 500000, MROUND(AF62,10)&lt;= 800000), ROUND(34000+ ABS(MROUND(AF62,10)- 500000)*0.2,0),  IF(MROUND(AF62,10)&gt; 800000,  ROUND(94000+ABS(MROUND(AF62,10)- 800000)*0.3,0),0)))), IF(AND(OR(AA25="2011-2012",AA25="2012-2013"),U22="Female"), IF(MROUND(AF62,10)&lt;= 190000, 0, IF(AND(MROUND(AF62,10)&gt; 190000, MROUND(AF62,10)&lt;= 500000), ROUND(ABS(MROUND(AF62,10)- 190000)*0.1,0), IF(AND(MROUND(AF62,10)&gt; 500000, MROUND(AF62,10)&lt;= 800000),  ROUND(31000+ ABS(MROUND(AF62,10)- 500000)*0.2,0),  IF(MROUND(AF62,10)&gt; 800000,  ROUND(91000+ABS(MROUND(AF62,10)- 800000)*0.3,0),0)))), IF(AND(AA25="2012-2013", U22&lt;&gt;"Female"), IF(MROUND(AF62,10)&lt;= 180000, 0, IF(AND(MROUND(AF62,10)&gt; 180000, MROUND(AF62,10)&lt;= 500000), ROUND(ABS(MROUND(AF62,10)- 180000)*0.1,0), IF(AND(MROUND(AF62,10)&gt; 500000, MROUND(AF62,10)&lt;= 800000),  ROUND(32000+ ABS(MROUND(AF62,10)- 500000)*0.2,0),  IF(MROUND(AF62,10)&gt; 800000,  ROUND(92000+ABS(MROUND(AF62,10)- 800000)*0.3,0),0)))), IF(OR(AA25="2013-2014",AA25="2014-2015"), IF(MROUND(AF62,10)&lt;= 200000, 0, IF(AND(MROUND(AF62,10)&gt; 200000, MROUND(AF62,10)&lt;= 500000), ROUND(ABS(MROUND(AF62,10)- 200000)*0.1,0), IF(AND(MROUND(AF62,10)&gt; 500000, MROUND(AF62,10)&lt;= 1000000),  ROUND(30000+ ABS(MROUND(AF62,10)- 500000)*0.2,0),  IF(MROUND(AF62,10)&gt; 1000000,  ROUND(130000+ABS(MROUND(AF62,10)- 1000000)*0.3,0),0)))), IF(OR(AA25="2015-2016", AA25="2016-2017",AA25="2017-2018"), IF(MROUND(AF62,10)&lt;= 250000, 0, IF(AND(MROUND(AF62,10)&gt; 250000, MROUND(AF62,10)&lt;= 500000), ROUND(ABS(MROUND(AF62,10)- 250000)*0.1,0), IF(AND(MROUND(AF62,10)&gt; 500000, MROUND(AF62,10)&lt;= 1000000),  ROUND(25000+ ABS(MROUND(AF62,10)- 500000)*0.2,0),  IF(MROUND(AF62,10)&gt; 1000000,  ROUND(125000+ABS(MROUND(AF62,10)- 1000000)*0.3,0), 0)))),IF(OR(AA25="2018-2019",AA25="2019-2020",AA25="2020-2021",AA25="2021-2022"), IF(MROUND(AF62,10)&lt;= 250000, 0, IF(AND(MROUND(AF62,10)&gt; 250000, MROUND(AF62,10)&lt;= 500000), ROUND(ABS(MROUND(AF62,10)- 250000)*0.05,0), IF(AND(MROUND(AF62,10)&gt; 500000, MROUND(AF62,10)&lt;= 1000000),  ROUND(12500+ ABS(MROUND(AF62,10)- 500000)*0.2,0),  IF(MROUND(AF62,10)&gt; 1000000,  ROUND(112500+ABS(MROUND(AF62,10)- 1000000)*0.3,0), 0)))),IF(OR(AA25="2022-2023",AA25="2023-2024"), IF(MROUND(AF62,10)&lt;= 250000, 0, IF(AND(MROUND(AF62,10)&gt; 250000, MROUND(AF62,10)&lt;= 500000), ROUND(ABS(MROUND(AF62,10)- 250000)*0.05,0), IF(AND(MROUND(AF62,10)&gt; 500000, MROUND(AF62,10)&lt;= 750000),  ROUND(12500+ ABS(MROUND(AF62,10)- 500000)*0.1,0), IF(AND(MROUND(AF62,10)&gt; 750000, MROUND(AF62,10)&lt;= 1000000),  ROUND(37500+ ABS(MROUND(AF62,10)- 750000)*0.15,0),IF(AND(MROUND(AF62,10)&gt; 1000000, MROUND(AF62,10)&lt;= 1250000),  ROUND(75000+ ABS(MROUND(AF62,10)- 1000000)*0.2,0),IF(AND(MROUND(AF62,10)&gt; 1250000, MROUND(AF62,10)&lt;= 1500000),  ROUND(125000+ ABS(MROUND(AF62,10)- 1250000)*0.25,0), IF(MROUND(AF62,10)&gt; 1500000,  ROUND(187500+ABS(MROUND(AF62,10)- 1500000)*0.3,0), 0))))))),IF(OR(AA25="2024-2025"), IF(MROUND(AF62,10)&lt;= 300000, 0, IF(AND(MROUND(AF62,10)&gt; 300000, MROUND(AF62,10)&lt;= 600000), ROUND(ABS(MROUND(AF62,10)- 300000)*0.05,0), IF(AND(MROUND(AF62,10)&gt; 600000, MROUND(AF62,10)&lt;= 900000),  ROUND(15000+ ABS(MROUND(AF62,10)- 600000)*0.1,0), IF(AND(MROUND(AF62,10)&gt; 900000, MROUND(AF62,10)&lt;= 1200000),  ROUND(45000+ ABS(MROUND(AF62,10)- 900000)*0.15,0),IF(AND(MROUND(AF62,10)&gt; 1200000, MROUND(AF62,10)&lt;= 1500000),  ROUND(90000+ ABS(MROUND(AF62,10)- 1200000)*0.2,0),IF(MROUND(AF62,10)&gt; 1500000,  ROUND(150000+ ABS(MROUND(AF62,10)- 1500000)*0.3,0), 0)))))),IF(OR(AA25="2025-2026_old"), IF(MROUND(AF62,10)&lt;= 300000, 0, IF(AND(MROUND(AF62,10)&gt; 300000, MROUND(AF62,10)&lt;= 700000), ROUND(ABS(MROUND(AF62,10)- 300000)*0.05,0), IF(AND(MROUND(AF62,10)&gt; 700000, MROUND(AF62,10)&lt;= 1000000),  ROUND(20000+ ABS(MROUND(AF62,10)- 700000)*0.1,0), IF(AND(MROUND(AF62,10)&gt; 1000000, MROUND(AF62,10)&lt;= 1200000),  ROUND(50000+ ABS(MROUND(AF62,10)- 1000000)*0.15,0),IF(AND(MROUND(AF62,10)&gt; 1200000, MROUND(AF62,10)&lt;= 1500000),  ROUND(80000+ ABS(MROUND(AF62,10)- 1200000)*0.2,0),IF(MROUND(AF62,10)&gt; 1500000,  ROUND(140000+ ABS(MROUND(AF62,10)- 1500000)*0.3,0), 0)))))),IF(OR(AA25="2025-2026"), IF(MROUND(AF62,10)&lt;= 400000, 0, IF(AND(MROUND(AF62,10)&gt; 400000, MROUND(AF62,10)&lt;= 800000), ROUND(ABS(MROUND(AF62,10)- 400000)*0.05,0), IF(AND(MROUND(AF62,10)&gt; 800000, MROUND(AF62,10)&lt;= 1200000),  ROUND(20000+ ABS(MROUND(AF62,10)- 800000)*0.1,0), IF(AND(MROUND(AF62,10)&gt; 1200000, MROUND(AF62,10)&lt;= 1600000),  ROUND(60000+ ABS(MROUND(AF62,10)- 1200000)*0.15,0),IF(AND(MROUND(AF62,10)&gt; 1600000, MROUND(AF62,10)&lt;= 2000000),  ROUND(120000+ ABS(MROUND(AF62,10)- 1600000)*0.2,0),IF(AND(MROUND(AF62,10)&gt; 2000000, MROUND(AF62,10)&lt;= 2400000),  ROUND(200000+ ABS(MROUND(AF62,10)- 2000000)*0.25,0),IF(MROUND(AF62,10)&gt; 2400000,  ROUND(300000+ ABS(MROUND(AF62,10)- 2400000)*0.3,0), 0))))))),0)))))))))))))))))),0)</f>
        <v>0</v>
      </c>
      <c r="AR71" s="6">
        <f>IF(AF62&gt;0,IF(OR(AA25="2014-2015",AA25="2015-2016",AA25="2016-2017"),IF(AND(MROUND(AF62,10)&lt;=500000,MROUND(AF62,10)&lt;&gt;0),IF(AQ71&lt;=2000, AQ71,2000),0), IF(AA25="2017-2018",IF(AND(MROUND(AF62,10)&lt;=500000,MROUND(AF62,10)&lt;&gt;0),IF(AQ71&lt;=5000, AQ71,5000),0),IF(OR(AA25="2018-2019",AA25="2019-2020"),IF(AND(MROUND(AF62,10)&lt;=350000,MROUND(AF62,10)&lt;&gt;0),IF(AQ71&lt;=2500, AQ71,2500),0),IF(OR(AA25="2020-2021",AA25="2021-2022",AA25="2022-2023",AA25="2023-2024"),IF(AND(MROUND(AF62,10)&lt;=500000,MROUND(AF62,10)&lt;&gt;0),IF(AQ71&lt;=12500, AQ71,12500),0),IF(OR(AA25="2024-2025"),IF(AND(MROUND(AF62,10)&lt;=700000,MROUND(AF62,10)&lt;&gt;0),IF(AQ71&lt;=25000, AQ71,25000),IF((AF62-700000)&lt;=AQ71,AQ71-(AF62-700000),0)),IF(OR(AA25="2025-2026_old"),IF(AND(MROUND(AF62,10)&lt;=700000,MROUND(AF62,10)&lt;&gt;0),IF(AQ71&lt;=20000, AQ71,20000),IF((AF62-700000)&lt;=AQ71,AQ71-(AF62-700000),0)),IF(OR(AA25="2025-2026"),IF(AND(MROUND(AF62,10)&lt;=1200000,MROUND(AF62,10)&lt;&gt;0),IF(AQ71&lt;=60000, AQ71,60000),IF((AF62-1200000)&lt;=AQ71,AQ71-(AF62-1200000),0)),0))))))),0)</f>
        <v>0</v>
      </c>
    </row>
    <row r="72" spans="2:49" ht="12.75" customHeight="1" x14ac:dyDescent="0.3">
      <c r="B72" s="1"/>
      <c r="C72" s="391"/>
      <c r="D72" s="421"/>
      <c r="E72" s="422"/>
      <c r="F72" s="422"/>
      <c r="G72" s="422"/>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3"/>
      <c r="AF72" s="427"/>
      <c r="AG72" s="428"/>
      <c r="AH72" s="428"/>
      <c r="AI72" s="428"/>
      <c r="AJ72" s="428"/>
      <c r="AK72" s="428"/>
      <c r="AL72" s="428"/>
      <c r="AM72" s="428"/>
      <c r="AN72" s="429"/>
      <c r="AO72" s="1"/>
      <c r="AP72" s="1"/>
      <c r="AQ72" s="6">
        <f>IF((AQ71&lt;AR71),0,ROUND(ABS(AQ71-AR71),0))</f>
        <v>0</v>
      </c>
      <c r="AR72" s="6">
        <f>IF(OR(AA25="2006-2007",AA25="2007-2008"),ROUND(AQ72*0.02,0),IF(OR(AA25="2019-2020",AA25="2020-2021",AA25="2021-2022",AA25="2022-2023",AA25="2023-2024",AA25="2024-2025",AA25="2025-2026"),ROUND(AQ72*0.04,0),ROUND(AQ72*0.03,0)))</f>
        <v>0</v>
      </c>
    </row>
    <row r="73" spans="2:49" ht="10.5" customHeight="1" x14ac:dyDescent="0.3">
      <c r="B73" s="1"/>
      <c r="C73" s="390">
        <v>6</v>
      </c>
      <c r="D73" s="432" t="s">
        <v>64</v>
      </c>
      <c r="E73" s="433"/>
      <c r="F73" s="433"/>
      <c r="G73" s="433"/>
      <c r="H73" s="433"/>
      <c r="I73" s="433"/>
      <c r="J73" s="433"/>
      <c r="K73" s="433"/>
      <c r="L73" s="433"/>
      <c r="M73" s="433"/>
      <c r="N73" s="433"/>
      <c r="O73" s="433"/>
      <c r="P73" s="433"/>
      <c r="Q73" s="433"/>
      <c r="R73" s="433"/>
      <c r="S73" s="433"/>
      <c r="T73" s="433"/>
      <c r="U73" s="433"/>
      <c r="V73" s="433"/>
      <c r="W73" s="433"/>
      <c r="X73" s="433"/>
      <c r="Y73" s="433"/>
      <c r="Z73" s="433"/>
      <c r="AA73" s="433"/>
      <c r="AB73" s="433"/>
      <c r="AC73" s="434"/>
      <c r="AD73" s="434"/>
      <c r="AE73" s="435"/>
      <c r="AF73" s="424">
        <f>ABS(AF69-AF71)</f>
        <v>0</v>
      </c>
      <c r="AG73" s="425"/>
      <c r="AH73" s="425"/>
      <c r="AI73" s="425"/>
      <c r="AJ73" s="425"/>
      <c r="AK73" s="425"/>
      <c r="AL73" s="425"/>
      <c r="AM73" s="425"/>
      <c r="AN73" s="426"/>
      <c r="AO73" s="1"/>
      <c r="AP73" s="1"/>
    </row>
    <row r="74" spans="2:49" x14ac:dyDescent="0.3">
      <c r="B74" s="1"/>
      <c r="C74" s="430"/>
      <c r="D74" s="436"/>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437"/>
      <c r="AF74" s="441"/>
      <c r="AG74" s="442"/>
      <c r="AH74" s="442"/>
      <c r="AI74" s="442"/>
      <c r="AJ74" s="442"/>
      <c r="AK74" s="442"/>
      <c r="AL74" s="442"/>
      <c r="AM74" s="442"/>
      <c r="AN74" s="443"/>
      <c r="AO74" s="1"/>
      <c r="AP74" s="1"/>
    </row>
    <row r="75" spans="2:49" ht="11.25" customHeight="1" x14ac:dyDescent="0.3">
      <c r="B75" s="1"/>
      <c r="C75" s="431"/>
      <c r="D75" s="438"/>
      <c r="E75" s="439"/>
      <c r="F75" s="439"/>
      <c r="G75" s="439"/>
      <c r="H75" s="439"/>
      <c r="I75" s="439"/>
      <c r="J75" s="439"/>
      <c r="K75" s="439"/>
      <c r="L75" s="439"/>
      <c r="M75" s="439"/>
      <c r="N75" s="439"/>
      <c r="O75" s="439"/>
      <c r="P75" s="439"/>
      <c r="Q75" s="439"/>
      <c r="R75" s="439"/>
      <c r="S75" s="439"/>
      <c r="T75" s="439"/>
      <c r="U75" s="439"/>
      <c r="V75" s="439"/>
      <c r="W75" s="439"/>
      <c r="X75" s="439"/>
      <c r="Y75" s="439"/>
      <c r="Z75" s="439"/>
      <c r="AA75" s="439"/>
      <c r="AB75" s="439"/>
      <c r="AC75" s="439"/>
      <c r="AD75" s="439"/>
      <c r="AE75" s="440"/>
      <c r="AF75" s="427"/>
      <c r="AG75" s="428"/>
      <c r="AH75" s="428"/>
      <c r="AI75" s="428"/>
      <c r="AJ75" s="428"/>
      <c r="AK75" s="428"/>
      <c r="AL75" s="428"/>
      <c r="AM75" s="428"/>
      <c r="AN75" s="429"/>
      <c r="AO75" s="1"/>
      <c r="AP75" s="1"/>
    </row>
    <row r="76" spans="2:49" ht="9" customHeight="1" x14ac:dyDescent="0.3">
      <c r="B76" s="1"/>
      <c r="C76" s="390">
        <v>7</v>
      </c>
      <c r="D76" s="432" t="s">
        <v>65</v>
      </c>
      <c r="E76" s="433"/>
      <c r="F76" s="433"/>
      <c r="G76" s="433"/>
      <c r="H76" s="433"/>
      <c r="I76" s="433"/>
      <c r="J76" s="433"/>
      <c r="K76" s="433"/>
      <c r="L76" s="433"/>
      <c r="M76" s="433"/>
      <c r="N76" s="433"/>
      <c r="O76" s="433"/>
      <c r="P76" s="433"/>
      <c r="Q76" s="433"/>
      <c r="R76" s="433"/>
      <c r="S76" s="433"/>
      <c r="T76" s="433"/>
      <c r="U76" s="433"/>
      <c r="V76" s="433"/>
      <c r="W76" s="433"/>
      <c r="X76" s="433"/>
      <c r="Y76" s="433"/>
      <c r="Z76" s="433"/>
      <c r="AA76" s="433"/>
      <c r="AB76" s="433"/>
      <c r="AC76" s="434"/>
      <c r="AD76" s="434"/>
      <c r="AE76" s="435"/>
      <c r="AF76" s="424">
        <f>AK102</f>
        <v>0</v>
      </c>
      <c r="AG76" s="425"/>
      <c r="AH76" s="425"/>
      <c r="AI76" s="425"/>
      <c r="AJ76" s="425"/>
      <c r="AK76" s="425"/>
      <c r="AL76" s="425"/>
      <c r="AM76" s="425"/>
      <c r="AN76" s="426"/>
      <c r="AO76" s="1"/>
      <c r="AP76" s="1"/>
    </row>
    <row r="77" spans="2:49" x14ac:dyDescent="0.3">
      <c r="B77" s="1"/>
      <c r="C77" s="430"/>
      <c r="D77" s="436"/>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c r="AE77" s="437"/>
      <c r="AF77" s="441"/>
      <c r="AG77" s="442"/>
      <c r="AH77" s="442"/>
      <c r="AI77" s="442"/>
      <c r="AJ77" s="442"/>
      <c r="AK77" s="442"/>
      <c r="AL77" s="442"/>
      <c r="AM77" s="442"/>
      <c r="AN77" s="443"/>
      <c r="AO77" s="1"/>
      <c r="AP77" s="1"/>
    </row>
    <row r="78" spans="2:49" ht="12" customHeight="1" x14ac:dyDescent="0.3">
      <c r="B78" s="1"/>
      <c r="C78" s="431"/>
      <c r="D78" s="438"/>
      <c r="E78" s="439"/>
      <c r="F78" s="439"/>
      <c r="G78" s="439"/>
      <c r="H78" s="439"/>
      <c r="I78" s="439"/>
      <c r="J78" s="439"/>
      <c r="K78" s="439"/>
      <c r="L78" s="439"/>
      <c r="M78" s="439"/>
      <c r="N78" s="439"/>
      <c r="O78" s="439"/>
      <c r="P78" s="439"/>
      <c r="Q78" s="439"/>
      <c r="R78" s="439"/>
      <c r="S78" s="439"/>
      <c r="T78" s="439"/>
      <c r="U78" s="439"/>
      <c r="V78" s="439"/>
      <c r="W78" s="439"/>
      <c r="X78" s="439"/>
      <c r="Y78" s="439"/>
      <c r="Z78" s="439"/>
      <c r="AA78" s="439"/>
      <c r="AB78" s="439"/>
      <c r="AC78" s="439"/>
      <c r="AD78" s="439"/>
      <c r="AE78" s="440"/>
      <c r="AF78" s="427"/>
      <c r="AG78" s="428"/>
      <c r="AH78" s="428"/>
      <c r="AI78" s="428"/>
      <c r="AJ78" s="428"/>
      <c r="AK78" s="428"/>
      <c r="AL78" s="428"/>
      <c r="AM78" s="428"/>
      <c r="AN78" s="429"/>
      <c r="AO78" s="1"/>
      <c r="AP78" s="1"/>
    </row>
    <row r="79" spans="2:49" x14ac:dyDescent="0.3">
      <c r="B79" s="1"/>
      <c r="C79" s="390">
        <v>8</v>
      </c>
      <c r="D79" s="432" t="s">
        <v>226</v>
      </c>
      <c r="E79" s="433"/>
      <c r="F79" s="433"/>
      <c r="G79" s="433"/>
      <c r="H79" s="433"/>
      <c r="I79" s="433"/>
      <c r="J79" s="433"/>
      <c r="K79" s="433"/>
      <c r="L79" s="433"/>
      <c r="M79" s="433"/>
      <c r="N79" s="433"/>
      <c r="O79" s="433"/>
      <c r="P79" s="433"/>
      <c r="Q79" s="433"/>
      <c r="R79" s="433"/>
      <c r="S79" s="433"/>
      <c r="T79" s="433"/>
      <c r="U79" s="433"/>
      <c r="V79" s="433"/>
      <c r="W79" s="433"/>
      <c r="X79" s="433"/>
      <c r="Y79" s="433"/>
      <c r="Z79" s="433"/>
      <c r="AA79" s="433"/>
      <c r="AB79" s="433"/>
      <c r="AC79" s="434"/>
      <c r="AD79" s="434"/>
      <c r="AE79" s="435"/>
      <c r="AF79" s="424">
        <f>IF(AND(AF27=M102,AF73&gt;AF76),ABS(AF73-AF76),0)</f>
        <v>0</v>
      </c>
      <c r="AG79" s="425"/>
      <c r="AH79" s="425"/>
      <c r="AI79" s="425"/>
      <c r="AJ79" s="425"/>
      <c r="AK79" s="425"/>
      <c r="AL79" s="425"/>
      <c r="AM79" s="425"/>
      <c r="AN79" s="426"/>
      <c r="AO79" s="1"/>
      <c r="AP79" s="1"/>
      <c r="AQ79" s="336" t="str">
        <f>IF(AND(M102=0,AF27=0),"",IF(AND(ISNUMBER(M102),OR(ISBLANK(AF27),AF27=0)),"Please enter the amount of Salary received as arrears in the cell 1(a) at the beginning of the sheet. ",IF(AF27&lt;&gt;M102,"The sum of the amounts of salary arrears distributed over different years in Table A does not match the amount entered as salary received in arrears in cell 1(a) at the beginning of the sheet.",IF(AND(AF27=M102,AF76&gt;AF73),"You are not eligible for relief u/s 89(1), since the tax computed in accordance with Table A is greater than the tax on salary received in arrears or advance.",""))))</f>
        <v/>
      </c>
      <c r="AR79" s="336"/>
      <c r="AS79" s="336"/>
      <c r="AT79" s="336"/>
      <c r="AU79" s="336"/>
      <c r="AV79" s="336"/>
      <c r="AW79" s="174"/>
    </row>
    <row r="80" spans="2:49" x14ac:dyDescent="0.3">
      <c r="B80" s="1"/>
      <c r="C80" s="430"/>
      <c r="D80" s="436"/>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437"/>
      <c r="AF80" s="441"/>
      <c r="AG80" s="442"/>
      <c r="AH80" s="442"/>
      <c r="AI80" s="442"/>
      <c r="AJ80" s="442"/>
      <c r="AK80" s="442"/>
      <c r="AL80" s="442"/>
      <c r="AM80" s="442"/>
      <c r="AN80" s="443"/>
      <c r="AO80" s="37"/>
      <c r="AP80" s="38"/>
      <c r="AQ80" s="336"/>
      <c r="AR80" s="336"/>
      <c r="AS80" s="336"/>
      <c r="AT80" s="336"/>
      <c r="AU80" s="336"/>
      <c r="AV80" s="336"/>
      <c r="AW80" s="174"/>
    </row>
    <row r="81" spans="2:53" x14ac:dyDescent="0.3">
      <c r="B81" s="1"/>
      <c r="C81" s="431"/>
      <c r="D81" s="438"/>
      <c r="E81" s="439"/>
      <c r="F81" s="439"/>
      <c r="G81" s="439"/>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40"/>
      <c r="AF81" s="427"/>
      <c r="AG81" s="428"/>
      <c r="AH81" s="428"/>
      <c r="AI81" s="428"/>
      <c r="AJ81" s="428"/>
      <c r="AK81" s="428"/>
      <c r="AL81" s="428"/>
      <c r="AM81" s="428"/>
      <c r="AN81" s="429"/>
      <c r="AO81" s="39"/>
      <c r="AP81" s="38"/>
      <c r="AQ81" s="336"/>
      <c r="AR81" s="336"/>
      <c r="AS81" s="336"/>
      <c r="AT81" s="336"/>
      <c r="AU81" s="336"/>
      <c r="AV81" s="336"/>
      <c r="AW81" s="174"/>
    </row>
    <row r="82" spans="2:53" ht="6"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53" x14ac:dyDescent="0.3">
      <c r="B83" s="1"/>
      <c r="C83" s="1"/>
      <c r="D83" s="1"/>
      <c r="E83" s="1"/>
      <c r="F83" s="1"/>
      <c r="G83" s="1"/>
      <c r="H83" s="1"/>
      <c r="I83" s="1"/>
      <c r="J83" s="1"/>
      <c r="K83" s="1"/>
      <c r="L83" s="1"/>
      <c r="M83" s="1"/>
      <c r="N83" s="1"/>
      <c r="O83" s="1"/>
      <c r="P83" s="1"/>
      <c r="Q83" s="385" t="s">
        <v>66</v>
      </c>
      <c r="R83" s="385"/>
      <c r="S83" s="385"/>
      <c r="T83" s="385"/>
      <c r="U83" s="385"/>
      <c r="V83" s="385"/>
      <c r="W83" s="385"/>
      <c r="X83" s="385"/>
      <c r="Y83" s="1"/>
      <c r="Z83" s="73" t="s">
        <v>124</v>
      </c>
      <c r="AA83" s="1"/>
      <c r="AB83" s="1"/>
      <c r="AC83" s="1"/>
      <c r="AD83" s="1"/>
      <c r="AE83" s="1"/>
      <c r="AF83" s="1"/>
      <c r="AG83" s="1"/>
      <c r="AH83" s="1"/>
      <c r="AI83" s="1"/>
      <c r="AJ83" s="1"/>
      <c r="AK83" s="1"/>
      <c r="AL83" s="1"/>
      <c r="AM83" s="1"/>
      <c r="AN83" s="1"/>
      <c r="AO83" s="1"/>
      <c r="AP83" s="1"/>
    </row>
    <row r="84" spans="2:53" x14ac:dyDescent="0.3">
      <c r="B84" s="1"/>
      <c r="C84" s="1"/>
      <c r="D84" s="1"/>
      <c r="E84" s="1"/>
      <c r="F84" s="1"/>
      <c r="G84" s="1"/>
      <c r="H84" s="1"/>
      <c r="I84" s="1"/>
      <c r="J84" s="1"/>
      <c r="K84" s="1"/>
      <c r="L84" s="1"/>
      <c r="M84" s="1"/>
      <c r="N84" s="1"/>
      <c r="O84" s="347" t="s">
        <v>67</v>
      </c>
      <c r="P84" s="347"/>
      <c r="Q84" s="347"/>
      <c r="R84" s="347"/>
      <c r="S84" s="347"/>
      <c r="T84" s="347"/>
      <c r="U84" s="347"/>
      <c r="V84" s="347"/>
      <c r="W84" s="347"/>
      <c r="X84" s="347"/>
      <c r="Y84" s="347"/>
      <c r="Z84" s="347"/>
      <c r="AA84" s="347"/>
      <c r="AB84" s="1"/>
      <c r="AC84" s="1"/>
      <c r="AD84" s="1"/>
      <c r="AE84" s="1"/>
      <c r="AF84" s="1"/>
      <c r="AG84" s="1"/>
      <c r="AH84" s="1"/>
      <c r="AI84" s="1"/>
      <c r="AJ84" s="1"/>
      <c r="AK84" s="1"/>
      <c r="AL84" s="1"/>
      <c r="AM84" s="1"/>
      <c r="AN84" s="1"/>
      <c r="AO84" s="1"/>
      <c r="AP84" s="1"/>
    </row>
    <row r="85" spans="2:53" ht="15" customHeight="1" x14ac:dyDescent="0.3">
      <c r="B85" s="469" t="s">
        <v>211</v>
      </c>
      <c r="C85" s="470"/>
      <c r="D85" s="470"/>
      <c r="E85" s="470"/>
      <c r="F85" s="471"/>
      <c r="G85" s="469" t="s">
        <v>68</v>
      </c>
      <c r="H85" s="478"/>
      <c r="I85" s="478"/>
      <c r="J85" s="478"/>
      <c r="K85" s="478"/>
      <c r="L85" s="479"/>
      <c r="M85" s="486" t="s">
        <v>78</v>
      </c>
      <c r="N85" s="487"/>
      <c r="O85" s="487"/>
      <c r="P85" s="487"/>
      <c r="Q85" s="487"/>
      <c r="R85" s="488"/>
      <c r="S85" s="469" t="s">
        <v>79</v>
      </c>
      <c r="T85" s="478"/>
      <c r="U85" s="478"/>
      <c r="V85" s="478"/>
      <c r="W85" s="478"/>
      <c r="X85" s="479"/>
      <c r="Y85" s="469" t="s">
        <v>69</v>
      </c>
      <c r="Z85" s="478"/>
      <c r="AA85" s="478"/>
      <c r="AB85" s="478"/>
      <c r="AC85" s="478"/>
      <c r="AD85" s="479"/>
      <c r="AE85" s="495" t="s">
        <v>70</v>
      </c>
      <c r="AF85" s="478"/>
      <c r="AG85" s="478"/>
      <c r="AH85" s="478"/>
      <c r="AI85" s="478"/>
      <c r="AJ85" s="479"/>
      <c r="AK85" s="496" t="s">
        <v>71</v>
      </c>
      <c r="AL85" s="478"/>
      <c r="AM85" s="478"/>
      <c r="AN85" s="478"/>
      <c r="AO85" s="478"/>
      <c r="AP85" s="479"/>
    </row>
    <row r="86" spans="2:53" x14ac:dyDescent="0.3">
      <c r="B86" s="472"/>
      <c r="C86" s="473"/>
      <c r="D86" s="473"/>
      <c r="E86" s="473"/>
      <c r="F86" s="474"/>
      <c r="G86" s="480"/>
      <c r="H86" s="481"/>
      <c r="I86" s="481"/>
      <c r="J86" s="481"/>
      <c r="K86" s="481"/>
      <c r="L86" s="482"/>
      <c r="M86" s="489"/>
      <c r="N86" s="490"/>
      <c r="O86" s="490"/>
      <c r="P86" s="490"/>
      <c r="Q86" s="490"/>
      <c r="R86" s="491"/>
      <c r="S86" s="480"/>
      <c r="T86" s="481"/>
      <c r="U86" s="481"/>
      <c r="V86" s="481"/>
      <c r="W86" s="481"/>
      <c r="X86" s="482"/>
      <c r="Y86" s="480"/>
      <c r="Z86" s="481"/>
      <c r="AA86" s="481"/>
      <c r="AB86" s="481"/>
      <c r="AC86" s="481"/>
      <c r="AD86" s="482"/>
      <c r="AE86" s="480"/>
      <c r="AF86" s="481"/>
      <c r="AG86" s="481"/>
      <c r="AH86" s="481"/>
      <c r="AI86" s="481"/>
      <c r="AJ86" s="482"/>
      <c r="AK86" s="480"/>
      <c r="AL86" s="481"/>
      <c r="AM86" s="481"/>
      <c r="AN86" s="481"/>
      <c r="AO86" s="481"/>
      <c r="AP86" s="482"/>
    </row>
    <row r="87" spans="2:53" x14ac:dyDescent="0.3">
      <c r="B87" s="472"/>
      <c r="C87" s="473"/>
      <c r="D87" s="473"/>
      <c r="E87" s="473"/>
      <c r="F87" s="474"/>
      <c r="G87" s="480"/>
      <c r="H87" s="481"/>
      <c r="I87" s="481"/>
      <c r="J87" s="481"/>
      <c r="K87" s="481"/>
      <c r="L87" s="482"/>
      <c r="M87" s="489"/>
      <c r="N87" s="490"/>
      <c r="O87" s="490"/>
      <c r="P87" s="490"/>
      <c r="Q87" s="490"/>
      <c r="R87" s="491"/>
      <c r="S87" s="480"/>
      <c r="T87" s="481"/>
      <c r="U87" s="481"/>
      <c r="V87" s="481"/>
      <c r="W87" s="481"/>
      <c r="X87" s="482"/>
      <c r="Y87" s="480"/>
      <c r="Z87" s="481"/>
      <c r="AA87" s="481"/>
      <c r="AB87" s="481"/>
      <c r="AC87" s="481"/>
      <c r="AD87" s="482"/>
      <c r="AE87" s="480"/>
      <c r="AF87" s="481"/>
      <c r="AG87" s="481"/>
      <c r="AH87" s="481"/>
      <c r="AI87" s="481"/>
      <c r="AJ87" s="482"/>
      <c r="AK87" s="480"/>
      <c r="AL87" s="481"/>
      <c r="AM87" s="481"/>
      <c r="AN87" s="481"/>
      <c r="AO87" s="481"/>
      <c r="AP87" s="482"/>
    </row>
    <row r="88" spans="2:53" x14ac:dyDescent="0.3">
      <c r="B88" s="472"/>
      <c r="C88" s="473"/>
      <c r="D88" s="473"/>
      <c r="E88" s="473"/>
      <c r="F88" s="474"/>
      <c r="G88" s="480"/>
      <c r="H88" s="481"/>
      <c r="I88" s="481"/>
      <c r="J88" s="481"/>
      <c r="K88" s="481"/>
      <c r="L88" s="482"/>
      <c r="M88" s="489"/>
      <c r="N88" s="490"/>
      <c r="O88" s="490"/>
      <c r="P88" s="490"/>
      <c r="Q88" s="490"/>
      <c r="R88" s="491"/>
      <c r="S88" s="480"/>
      <c r="T88" s="481"/>
      <c r="U88" s="481"/>
      <c r="V88" s="481"/>
      <c r="W88" s="481"/>
      <c r="X88" s="482"/>
      <c r="Y88" s="480"/>
      <c r="Z88" s="481"/>
      <c r="AA88" s="481"/>
      <c r="AB88" s="481"/>
      <c r="AC88" s="481"/>
      <c r="AD88" s="482"/>
      <c r="AE88" s="480"/>
      <c r="AF88" s="481"/>
      <c r="AG88" s="481"/>
      <c r="AH88" s="481"/>
      <c r="AI88" s="481"/>
      <c r="AJ88" s="482"/>
      <c r="AK88" s="480"/>
      <c r="AL88" s="481"/>
      <c r="AM88" s="481"/>
      <c r="AN88" s="481"/>
      <c r="AO88" s="481"/>
      <c r="AP88" s="482"/>
    </row>
    <row r="89" spans="2:53" x14ac:dyDescent="0.3">
      <c r="B89" s="472"/>
      <c r="C89" s="473"/>
      <c r="D89" s="473"/>
      <c r="E89" s="473"/>
      <c r="F89" s="474"/>
      <c r="G89" s="480"/>
      <c r="H89" s="481"/>
      <c r="I89" s="481"/>
      <c r="J89" s="481"/>
      <c r="K89" s="481"/>
      <c r="L89" s="482"/>
      <c r="M89" s="489"/>
      <c r="N89" s="490"/>
      <c r="O89" s="490"/>
      <c r="P89" s="490"/>
      <c r="Q89" s="490"/>
      <c r="R89" s="491"/>
      <c r="S89" s="480"/>
      <c r="T89" s="481"/>
      <c r="U89" s="481"/>
      <c r="V89" s="481"/>
      <c r="W89" s="481"/>
      <c r="X89" s="482"/>
      <c r="Y89" s="480"/>
      <c r="Z89" s="481"/>
      <c r="AA89" s="481"/>
      <c r="AB89" s="481"/>
      <c r="AC89" s="481"/>
      <c r="AD89" s="482"/>
      <c r="AE89" s="480"/>
      <c r="AF89" s="481"/>
      <c r="AG89" s="481"/>
      <c r="AH89" s="481"/>
      <c r="AI89" s="481"/>
      <c r="AJ89" s="482"/>
      <c r="AK89" s="480"/>
      <c r="AL89" s="481"/>
      <c r="AM89" s="481"/>
      <c r="AN89" s="481"/>
      <c r="AO89" s="481"/>
      <c r="AP89" s="482"/>
    </row>
    <row r="90" spans="2:53" ht="105" customHeight="1" x14ac:dyDescent="0.3">
      <c r="B90" s="475"/>
      <c r="C90" s="476"/>
      <c r="D90" s="476"/>
      <c r="E90" s="476"/>
      <c r="F90" s="477"/>
      <c r="G90" s="483"/>
      <c r="H90" s="484"/>
      <c r="I90" s="484"/>
      <c r="J90" s="484"/>
      <c r="K90" s="484"/>
      <c r="L90" s="485"/>
      <c r="M90" s="492"/>
      <c r="N90" s="493"/>
      <c r="O90" s="493"/>
      <c r="P90" s="493"/>
      <c r="Q90" s="493"/>
      <c r="R90" s="494"/>
      <c r="S90" s="483"/>
      <c r="T90" s="484"/>
      <c r="U90" s="484"/>
      <c r="V90" s="484"/>
      <c r="W90" s="484"/>
      <c r="X90" s="485"/>
      <c r="Y90" s="483"/>
      <c r="Z90" s="484"/>
      <c r="AA90" s="484"/>
      <c r="AB90" s="484"/>
      <c r="AC90" s="484"/>
      <c r="AD90" s="485"/>
      <c r="AE90" s="483"/>
      <c r="AF90" s="484"/>
      <c r="AG90" s="484"/>
      <c r="AH90" s="484"/>
      <c r="AI90" s="484"/>
      <c r="AJ90" s="485"/>
      <c r="AK90" s="483"/>
      <c r="AL90" s="484"/>
      <c r="AM90" s="484"/>
      <c r="AN90" s="484"/>
      <c r="AO90" s="484"/>
      <c r="AP90" s="485"/>
    </row>
    <row r="91" spans="2:53" x14ac:dyDescent="0.3">
      <c r="B91" s="465">
        <v>1</v>
      </c>
      <c r="C91" s="263"/>
      <c r="D91" s="263"/>
      <c r="E91" s="263"/>
      <c r="F91" s="278"/>
      <c r="G91" s="465">
        <v>2</v>
      </c>
      <c r="H91" s="263"/>
      <c r="I91" s="263"/>
      <c r="J91" s="263"/>
      <c r="K91" s="263"/>
      <c r="L91" s="278"/>
      <c r="M91" s="465">
        <v>3</v>
      </c>
      <c r="N91" s="263"/>
      <c r="O91" s="263"/>
      <c r="P91" s="263"/>
      <c r="Q91" s="263"/>
      <c r="R91" s="278"/>
      <c r="S91" s="465">
        <v>4</v>
      </c>
      <c r="T91" s="466"/>
      <c r="U91" s="466"/>
      <c r="V91" s="466"/>
      <c r="W91" s="466"/>
      <c r="X91" s="467"/>
      <c r="Y91" s="465">
        <v>5</v>
      </c>
      <c r="Z91" s="263"/>
      <c r="AA91" s="263"/>
      <c r="AB91" s="263"/>
      <c r="AC91" s="263"/>
      <c r="AD91" s="278"/>
      <c r="AE91" s="465">
        <v>6</v>
      </c>
      <c r="AF91" s="466"/>
      <c r="AG91" s="466"/>
      <c r="AH91" s="466"/>
      <c r="AI91" s="466"/>
      <c r="AJ91" s="278"/>
      <c r="AK91" s="468">
        <v>7</v>
      </c>
      <c r="AL91" s="263"/>
      <c r="AM91" s="263"/>
      <c r="AN91" s="263"/>
      <c r="AO91" s="263"/>
      <c r="AP91" s="278"/>
    </row>
    <row r="92" spans="2:53" x14ac:dyDescent="0.3">
      <c r="B92" s="545" t="str">
        <f>IF(ISBLANK('Form 10E - Old Scheme'!B92),"",'Form 10E - Old Scheme'!B92)</f>
        <v/>
      </c>
      <c r="C92" s="546"/>
      <c r="D92" s="546"/>
      <c r="E92" s="546"/>
      <c r="F92" s="547"/>
      <c r="G92" s="458">
        <f>IF(ISNUMBER('Form 10E - Old Scheme'!G92),'Form 10E - Old Scheme'!G92,0)</f>
        <v>0</v>
      </c>
      <c r="H92" s="459"/>
      <c r="I92" s="459"/>
      <c r="J92" s="459"/>
      <c r="K92" s="459"/>
      <c r="L92" s="460"/>
      <c r="M92" s="458">
        <f>IF(ISNUMBER('Form 10E - Old Scheme'!M92),'Form 10E - Old Scheme'!M92,0)</f>
        <v>0</v>
      </c>
      <c r="N92" s="459"/>
      <c r="O92" s="459"/>
      <c r="P92" s="459"/>
      <c r="Q92" s="459"/>
      <c r="R92" s="460"/>
      <c r="S92" s="458">
        <f>SUM(G92,M92)</f>
        <v>0</v>
      </c>
      <c r="T92" s="459"/>
      <c r="U92" s="459"/>
      <c r="V92" s="459"/>
      <c r="W92" s="459"/>
      <c r="X92" s="460"/>
      <c r="Y92" s="458">
        <f>MROUND(SUM(AV92,AW92),10)</f>
        <v>0</v>
      </c>
      <c r="Z92" s="459"/>
      <c r="AA92" s="459"/>
      <c r="AB92" s="459"/>
      <c r="AC92" s="459"/>
      <c r="AD92" s="460"/>
      <c r="AE92" s="458">
        <f>SUM(AZ92,BA92)</f>
        <v>0</v>
      </c>
      <c r="AF92" s="459"/>
      <c r="AG92" s="459"/>
      <c r="AH92" s="459"/>
      <c r="AI92" s="459"/>
      <c r="AJ92" s="461"/>
      <c r="AK92" s="462">
        <f t="shared" ref="AK92:AK101" si="0">ABS(AE92-Y92)</f>
        <v>0</v>
      </c>
      <c r="AL92" s="463"/>
      <c r="AM92" s="463"/>
      <c r="AN92" s="463"/>
      <c r="AO92" s="463"/>
      <c r="AP92" s="464"/>
      <c r="AQ92" s="36" t="str">
        <f>IF(AND(OR(NOT(ISBLANK(G92)),NOT(ISBLANK(M92))),OR(ISBLANK(B92),B92="Select")),"Please select a Financial Year","")</f>
        <v/>
      </c>
      <c r="AT92" s="6">
        <f>IF( AND(OR(B92="2005-2006",B92="2006-2007"),$U$22&lt;&gt;"Female"),IF( MROUND(G92,10)&lt;= 100000, 0, IF(AND(MROUND(G92,10)&gt; 100000,MROUND(G92,10)&lt;= 150000),  ROUND(ABS(MROUND(G92,10)- 100000)*0.1,0), IF(AND(MROUND(G92,10)&gt; 150000, MROUND(G92,10)&lt;= 250000), ROUND(5000+ ABS(MROUND(G92,10)- 150000)*0.2,0),IF(MROUND(G92,10)&gt; 250000,  ROUND(25000+ABS(MROUND(G92,10)- 250000)*0.3,0),  0)))),IF(AND(OR(B92="2005-2006",B92="2006-2007"),$U$22="Female"),IF(MROUND(G92,10)&lt;= 135000, 0, IF(AND(MROUND(G92,10)&gt; 135000, MROUND(G92,10)&lt;= 150000), ROUND(ABS(MROUND(G92,10)- 135000)*0.1,0), IF(AND(MROUND(G92,10)&gt; 150000, MROUND(G92,10)&lt;= 250000), ROUND(1500+ ABS(MROUND(G92,10)- 150000)*0.2,0),  IF(MROUND(G92,10)&gt; 250000, ROUND(21500+ABS(MROUND(G92,10)- 250000)*0.3,0),0)))),IF(AND(B92="2007-2008",$U$22&lt;&gt;"Female"), IF(MROUND(G92,10)&lt;= 110000,  0,  IF(AND(MROUND(G92,10)&gt; 110000, MROUND(G92,10)&lt;= 150000), ROUND(ABS(MROUND(G92,10)- 110000)*0.1,0),  IF(AND(MROUND(G92,10)&gt; 150000, MROUND(G92,10)&lt;= 250000),  ROUND(4000+ ABS(MROUND(G92,10)- 150000)*0.2,0),   IF(MROUND(G92,10)&gt; 250000,   ROUND(24000+ABS(MROUND(G92,10)- 250000)*0.3,0),0)))),IF(AND(B92="2007-2008",$U$22="Female"), IF(MROUND(G92,10)&lt;= 145000, 0, IF(AND(MROUND(G92,10)&gt; 145000, MROUND(G92,10)&lt;= 150000),     ROUND(ABS(MROUND(G92,10)- 145000)*0.1,0),  IF(AND(MROUND(G92,10)&gt; 150000, MROUND(G92,10)&lt;= 250000),  ROUND(500+ ABS(MROUND(G92,10)- 150000)*0.2,0),  IF(MROUND(G92,10)&gt; 250000, ROUND(20500+ABS(MROUND(G92,10)- 250000)*0.3,0),0)))), IF(AND(B92="2008-2009",$U$22&lt;&gt;"Female"), IF(MROUND(G92,10)&lt;= 150000, 0, IF(AND(MROUND(G92,10)&gt; 150000, MROUND(G92,10)&lt;= 300000), ROUND(ABS(MROUND(G92,10)- 150000)*0.1,0), IF(AND(MROUND(G92,10)&gt; 300000, MROUND(G92,10)&lt;= 500000),  ROUND(15000+ ABS(MROUND(G92,10)- 300000)*0.2,0),  IF(MROUND(G92,10)&gt; 500000,  ROUND(55000+ABS(MROUND(G92,10)- 500000)*0.3,0),0)))), IF(AND(B92="2008-2009",$U$22="Female"), IF(MROUND(G92,10)&lt;= 180000, 0, IF(AND(MROUND(G92,10)&gt; 180000, MROUND(G92,10)&lt;= 300000), ROUND(ABS(MROUND(G92,10)- 180000)*0.1,0), IF(AND(MROUND(G92,10)&gt; 300000, MROUND(G92,10)&lt;= 500000), ROUND(12000+ ABS(MROUND(G92,10)- 300000)*0.2,0),  IF(MROUND(G92,10)&gt; 500000,  ROUND(52000+ABS(MROUND(G92,10)- 500000)*0.3,0),0)))), IF(AND(B92="2009-2010", $U$22&lt;&gt;"Female"), IF(MROUND(G92,10)&lt;= 160000, 0, IF(AND(MROUND(G92,10)&gt; 160000, MROUND(G92,10)&lt;= 300000),ROUND(ABS(MROUND(G92,10)- 160000)*0.1,0), IF(AND(MROUND(G92,10)&gt; 300000, MROUND(G92,10)&lt;= 500000),ROUND(14000+ ABS(MROUND(G92,10)- 300000)*0.2,0),  IF(MROUND(G92,10)&gt; 500000, ROUND(54000+ABS(MROUND(G92,10)- 500000)*0.3,0),0)))),IF(AND(B92="2009-2010",$U$22="Female"), IF(MROUND(G92,10)&lt;= 190000, 0, IF(AND(MROUND(G92,10)&gt; 190000, MROUND(G92,10)&lt;= 300000),ROUND(ABS(MROUND(G92,10)- 190000)*0.1,0), IF(AND(MROUND(G92,10)&gt; 300000, MROUND(G92,10)&lt;= 500000), ROUND(11000+ ABS(MROUND(G92,10)- 300000)*0.2,0),IF(MROUND(G92,10)&gt; 500000,  ROUND(51000+ABS(MROUND(G92,10)- 500000)*0.3,0),0)))), IF(AND(B92="2010-2011",$U$22&lt;&gt;"Female"), IF(MROUND(G92,10)&lt;= 160000, 0, IF(AND(MROUND(G92,10)&gt; 160000, MROUND(G92,10)&lt;= 500000), ROUND(ABS(MROUND(G92,10)- 160000)*0.1,0), IF(AND(MROUND(G92,10)&gt; 500000, MROUND(G92,10)&lt;= 800000), ROUND(34000+ ABS(MROUND(G92,10)- 500000)*0.2,0),  IF(MROUND(G92,10)&gt; 800000,  ROUND(94000+ABS(MROUND(G92,10)- 800000)*0.3,0),0)))), IF(AND(OR(B92="2010-2011",B92="2011-2012"),$U$22="Female"), IF(MROUND(G92,10)&lt;= 190000, 0, IF(AND(MROUND(G92,10)&gt; 190000, MROUND(G92,10)&lt;= 500000), ROUND(ABS(MROUND(G92,10)- 190000)*0.1,0), IF(AND(MROUND(G92,10)&gt; 500000, MROUND(G92,10)&lt;= 800000),  ROUND(31000+ ABS(MROUND(G92,10)- 500000)*0.2,0),  IF(MROUND(G92,10)&gt; 800000,  ROUND(91000+ABS(MROUND(G92,10)- 800000)*0.3,0),0)))), IF(AND(B92="2011-2012", $U$22&lt;&gt;"Female"), IF(MROUND(G92,10)&lt;= 180000, 0, IF(AND(MROUND(G92,10)&gt; 180000, MROUND(G92,10)&lt;= 500000), ROUND(ABS(MROUND(G92,10)- 180000)*0.1,0), IF(AND(MROUND(G92,10)&gt; 500000, MROUND(G92,10)&lt;= 800000),  ROUND(32000+ ABS(MROUND(G92,10)- 500000)*0.2,0),  IF(MROUND(G92,10)&gt; 800000,  ROUND(92000+ABS(MROUND(G92,10)- 800000)*0.3,0),0)))), IF(OR(B92="2012-2013",B92="2013-2014"), IF(MROUND(G92,10)&lt;= 200000, 0, IF(AND(MROUND(G92,10)&gt; 200000, MROUND(G92,10)&lt;= 500000), ROUND(ABS(MROUND(G92,10)- 200000)*0.1,0), IF(AND(MROUND(G92,10)&gt; 500000, MROUND(G92,10)&lt;= 1000000),  ROUND(30000+ ABS(MROUND(G92,10)- 500000)*0.2,0),  IF(MROUND(G92,10)&gt; 1000000,  ROUND(130000+ABS(MROUND(G92,10)- 1000000)*0.3,0),0)))), IF(OR(B92="2014-2015", B92="2015-2016",B92="2016-2017"), IF(MROUND(G92,10)&lt;= 250000, 0, IF(AND(MROUND(G92,10)&gt; 250000, MROUND(G92,10)&lt;= 500000), ROUND(ABS(MROUND(G92,10)- 250000)*0.1,0), IF(AND(MROUND(G92,10)&gt; 500000, MROUND(G92,10)&lt;= 1000000),  ROUND(25000+ ABS(MROUND(G92,10)- 500000)*0.2,0),  IF(MROUND(G92,10)&gt; 1000000,  ROUND(125000+ABS(MROUND(G92,10)- 1000000)*0.3,0), 0)))), IF(OR(B92="2017-2018",B92="2018-2019",B92="2019-2020",AND(B92="2020-2021",'Basic Information'!$AG$12="No"),AND(B92="2021-2022",'Basic Information'!$AG$15="No"),AND(B92="2022-2023",'Basic Information'!$AG$18="No"),AND(B92="2023-2024",'Basic Information'!$AG$21="Yes"),AND(B92="2024-2025",'Basic Information'!$AG$24="Yes")), IF(MROUND(G92,10)&lt;= 250000, 0, IF(AND(MROUND(G92,10)&gt; 250000, MROUND(G92,10)&lt;= 500000), ROUND(ABS(MROUND(G92,10)- 250000)*0.05,0), IF(AND(MROUND(G92,10)&gt; 500000, MROUND(G92,10)&lt;= 1000000),  ROUND(12500+ ABS(MROUND(G92,10)- 500000)*0.2,0),  IF(MROUND(G92,10)&gt; 1000000,  ROUND(112500+ABS(MROUND(G92,10)- 1000000)*0.3,0), 0)))),IF(OR(AND(B92="2020-2021",'Basic Information'!$AG$12="Yes"),AND(B92="2021-2022",'Basic Information'!$AG$15="Yes"),AND(B92="2022-2023",'Basic Information'!$AG$18="Yes")), IF(MROUND(G92,10)&lt;= 250000, 0, IF(AND(MROUND(G92,10)&gt; 250000, MROUND(G92,10)&lt;= 500000), ROUND(ABS(MROUND(G92,10)- 250000)*0.05,0), IF(AND(MROUND(G92,10)&gt; 500000, MROUND(G92,10)&lt;= 750000),  ROUND(12500+ ABS(MROUND(G92,10)- 500000)*0.1,0), IF(AND(MROUND(G92,10)&gt; 750000, MROUND(G92,10)&lt;= 1000000),  ROUND(37500+ ABS(MROUND(G92,10)- 750000)*0.15,0),IF(AND(MROUND(G92,10)&gt; 1000000, MROUND(G92,10)&lt;= 1250000),  ROUND(75000+ ABS(MROUND(G92,10)- 1000000)*0.2,0),IF(AND(MROUND(G92,10)&gt; 1250000, MROUND(G92,10)&lt;= 1500000),  ROUND(125000+ ABS(MROUND(G92,10)- 1250000)*0.25,0), IF(MROUND(G92,10)&gt; 1500000,  ROUND(187500+ABS(MROUND(G92,10)- 1500000)*0.3,0), 0))))))),IF(AND(B92="2023-2024",'Basic Information'!$AG$21="No"), IF(MROUND(G92,10)&lt;= 300000, 0, IF(AND(MROUND(G92,10)&gt; 300000, MROUND(G92,10)&lt;= 600000), ROUND(ABS(MROUND(G92,10)- 300000)*0.05,0), IF(AND(MROUND(G92,10)&gt; 600000, MROUND(G92,10)&lt;= 900000),  ROUND(15000+ ABS(MROUND(G92,10)- 600000)*0.1,0), IF(AND(MROUND(G92,10)&gt; 900000, MROUND(G92,10)&lt;= 1200000),  ROUND(45000+ ABS(MROUND(G92,10)- 900000)*0.15,0),IF(AND(MROUND(G92,10)&gt; 1200000, MROUND(G92,10)&lt;= 1500000),  ROUND(90000+ ABS(MROUND(G92,10)- 1200000)*0.2,0), IF(MROUND(G92,10)&gt; 1500000,  ROUND(150000+ABS(MROUND(G92,10)- 1500000)*0.3,0), 0)))))),IF(AND(B92="2024-2025",'Basic Information'!$AG$24="No"), IF(MROUND(G92,10)&lt;= 300000, 0, IF(AND(MROUND(G92,10)&gt; 300000, MROUND(G92,10)&lt;= 700000), ROUND(ABS(MROUND(G92,10)- 300000)*0.05,0), IF(AND(MROUND(G92,10)&gt; 700000, MROUND(G92,10)&lt;= 1000000),  ROUND(20000+ ABS(MROUND(G92,10)- 700000)*0.1,0), IF(AND(MROUND(G92,10)&gt; 1000000, MROUND(G92,10)&lt;= 1200000),  ROUND(50000+ ABS(MROUND(G92,10)- 1000000)*0.15,0),IF(AND(MROUND(G92,10)&gt; 1200000, MROUND(G92,10)&lt;= 1500000),  ROUND(80000+ ABS(MROUND(G92,10)- 1200000)*0.2,0), IF(MROUND(G92,10)&gt; 1500000,  ROUND(140000+ABS(MROUND(G92,10)- 1500000)*0.3,0), 0)))))),0)))))))))))))))))</f>
        <v>0</v>
      </c>
      <c r="AU92" s="6">
        <f>IF(OR(B92="2013-2014",B92="2014-2015",B92="2015-2016"),IF(AND(MROUND(G92,10)&lt;=500000,MROUND(G92,10)&lt;&gt;0),IF(AT92&lt;=2000, AT92,2000),0), IF(B92="2016-2017",IF(AND(MROUND(G92,10)&lt;=500000,MROUND(G92,10)&lt;&gt;0),IF(AT92&lt;=5000, AT92,5000),0), IF(OR(B92="2017-2018",B92="2018-2019"),IF(AND(MROUND(G92,10)&lt;=350000,MROUND(G92,10)&lt;&gt;0),IF(AT92&lt;=2500, AT92,2500),0), IF(OR(B92="2019-2020",B92="2020-2021",B92="2021-2022",B92="2022-2023",AND(B92="2023-2024",'Basic Information'!$AG$21="Yes"),AND(B92="2024-2025",'Basic Information'!$AG$24="Yes")),IF(AND(MROUND(G92,10)&lt;=500000,MROUND(G92,10)&lt;&gt;0),IF(AT92&lt;=12500, AT92,12500),0), IF(OR(AND(B92="2023-2024",'Basic Information'!$AG$21="No")),IF(AND(MROUND(G92,10)&lt;=700000,MROUND(G92,10)&lt;&gt;0),IF(AT92&lt;=25000, AT92,25000),IF(AND(MROUND(G92,10)&lt;&gt;0,(MROUND(G92,10)-700000)&lt;=AT92),AT92-(MROUND(G92,10)-700000),0)), IF(OR(AND(B92="2024-2025",'Basic Information'!$AG$24="No")),IF(AND(MROUND(G92,10)&lt;=700000,MROUND(G92,10)&lt;&gt;0),IF(AT92&lt;=20000, AT92,20000),IF(AND(MROUND(G92,10)&lt;&gt;0,(MROUND(G92,10)-700000)&lt;=AT92),AT92-(MROUND(G92,10)-700000),0)),0))))))</f>
        <v>0</v>
      </c>
      <c r="AV92" s="6">
        <f>IF((AT92&lt;AU92),0,ROUND(ABS(AT92- AU92),0))</f>
        <v>0</v>
      </c>
      <c r="AW92" s="6">
        <f>IF(OR(B92="2005-2006",B92="2006-2007"),ROUND(AV92*0.02,0),IF(OR(B92="2018-2019",B92="2019-2020",B92="2020-2021",B92="2021-2022",B92="2022-2023",B92="2023-2024",B92="2024-2025"),ROUND(AV92*0.04,0),ROUND(AV92*0.03,0)))</f>
        <v>0</v>
      </c>
      <c r="AX92" s="6">
        <f>IF( AND(OR(B92="2005-2006",B92="2006-2007"),$U$22&lt;&gt;"Female"),IF( MROUND(S92,10)&lt;= 100000, 0, IF(AND(MROUND(S92,10)&gt; 100000,MROUND(S92,10)&lt;= 150000),  ROUND(ABS(MROUND(S92,10)- 100000)*0.1,0), IF(AND(MROUND(S92,10)&gt; 150000, MROUND(S92,10)&lt;= 250000), ROUND(5000+ ABS(MROUND(S92,10)- 150000)*0.2,0),IF(MROUND(S92,10)&gt; 250000,  ROUND(25000+ABS(MROUND(S92,10)- 250000)*0.3,0),  0)))),IF(AND(OR(B92="2005-2006",B92="2006-2007"),$U$22="Female"),IF(MROUND(S92,10)&lt;= 135000, 0, IF(AND(MROUND(S92,10)&gt; 135000, MROUND(S92,10)&lt;= 150000), ROUND(ABS(MROUND(S92,10)- 135000)*0.1,0), IF(AND(MROUND(S92,10)&gt; 150000, MROUND(S92,10)&lt;= 250000), ROUND(1500+ ABS(MROUND(S92,10)- 150000)*0.2,0),  IF(MROUND(S92,10)&gt; 250000, ROUND(21500+ABS(MROUND(S92,10)- 250000)*0.3,0),0)))),IF(AND(B92="2007-2008",$U$22&lt;&gt;"Female"), IF(MROUND(S92,10)&lt;= 110000,  0,  IF(AND(MROUND(S92,10)&gt; 110000, MROUND(S92,10)&lt;= 150000),     ROUND(ABS(MROUND(S92,10)- 110000)*0.1,0),  IF(AND(MROUND(S92,10)&gt; 150000, MROUND(S92,10)&lt;= 250000),  ROUND(4000+ ABS(MROUND(S92,10)- 150000)*0.2,0),   IF(MROUND(S92,10)&gt; 250000,   ROUND(24000+ABS(MROUND(S92,10)- 250000)*0.3,0),0)))),IF(AND(B92="2007-2008",$U$22="Female"), IF(MROUND(S92,10)&lt;= 145000, 0, IF(AND(MROUND(S92,10)&gt; 145000, MROUND(S92,10)&lt;= 150000),     ROUND(ABS(MROUND(S92,10)- 145000)*0.1,0),  IF(AND(MROUND(S92,10)&gt; 150000, MROUND(S92,10)&lt;= 250000),  ROUND(500+ ABS(MROUND(S92,10)- 150000)*0.2,0),  IF(MROUND(S92,10)&gt; 250000, ROUND(20500+ABS(MROUND(S92,10)- 250000)*0.3,0),0)))), IF(AND(B92="2008-2009",$U$22&lt;&gt;"Female"), IF(MROUND(S92,10)&lt;= 150000, 0, IF(AND(MROUND(S92,10)&gt; 150000, MROUND(S92,10)&lt;= 300000), ROUND(ABS(MROUND(S92,10)- 150000)*0.1,0), IF(AND(MROUND(S92,10)&gt; 300000, MROUND(S92,10)&lt;= 500000),  ROUND(15000+ ABS(MROUND(S92,10)- 300000)*0.2,0),  IF(MROUND(S92,10)&gt; 500000,  ROUND(55000+ABS(MROUND(S92,10)- 500000)*0.3,0),0)))), IF(AND(B92="2008-2009",$U$22="Female"), IF(MROUND(S92,10)&lt;= 180000, 0, IF(AND(MROUND(S92,10)&gt; 180000, MROUND(S92,10)&lt;= 300000), ROUND(ABS(MROUND(S92,10)- 180000)*0.1,0), IF(AND(MROUND(S92,10)&gt; 300000, MROUND(S92,10)&lt;= 500000), ROUND(12000+ ABS(MROUND(S92,10)- 300000)*0.2,0),  IF(MROUND(S92,10)&gt; 500000,  ROUND(52000+ABS(MROUND(S92,10)- 500000)*0.3,0),0)))), IF(AND(B92="2009-2010", $U$22&lt;&gt;"Female"), IF(MROUND(S92,10)&lt;= 160000, 0, IF(AND(MROUND(S92,10)&gt; 160000, MROUND(S92,10)&lt;= 300000),ROUND(ABS(MROUND(S92,10)- 160000)*0.1,0), IF(AND(MROUND(S92,10)&gt; 300000, MROUND(S92,10)&lt;= 500000),ROUND(14000+ ABS(MROUND(S92,10)- 300000)*0.2,0),  IF(MROUND(S92,10)&gt; 500000, ROUND(54000+ABS(MROUND(S92,10)- 500000)*0.3,0),0)))),IF(AND(B92="2009-2010",$U$22="Female"), IF(MROUND(S92,10)&lt;= 190000, 0, IF(AND(MROUND(S92,10)&gt; 190000, MROUND(S92,10)&lt;= 300000),ROUND(ABS(MROUND(S92,10)- 190000)*0.1,0), IF(AND(MROUND(S92,10)&gt; 300000, MROUND(S92,10)&lt;= 500000), ROUND(11000+ ABS(MROUND(S92,10)- 300000)*0.2,0),IF(MROUND(S92,10)&gt; 500000,  ROUND(51000+ABS(MROUND(S92,10)- 500000)*0.3,0),0)))), IF(AND(B92="2010-2011",$U$22&lt;&gt;"Female"), IF(MROUND(S92,10)&lt;= 160000, 0, IF(AND(MROUND(S92,10)&gt; 160000, MROUND(S92,10)&lt;= 500000), ROUND(ABS(MROUND(S92,10)- 160000)*0.1,0), IF(AND(MROUND(S92,10)&gt; 500000, MROUND(S92,10)&lt;= 800000), ROUND(34000+ ABS(MROUND(S92,10)- 500000)*0.2,0),  IF(MROUND(S92,10)&gt; 800000,  ROUND(94000+ABS(MROUND(S92,10)- 800000)*0.3,0),0)))), IF(AND(OR(B92="2010-2011",B92="2011-2012"),$U$22="Female"), IF(MROUND(S92,10)&lt;= 190000, 0, IF(AND(MROUND(S92,10)&gt; 190000, MROUND(S92,10)&lt;= 500000), ROUND(ABS(MROUND(S92,10)- 190000)*0.1,0), IF(AND(MROUND(S92,10)&gt; 500000, MROUND(S92,10)&lt;= 800000),  ROUND(31000+ ABS(MROUND(S92,10)- 500000)*0.2,0),  IF(MROUND(S92,10)&gt; 800000,  ROUND(91000+ABS(MROUND(S92,10)- 800000)*0.3,0),0)))), IF(AND(B92="2011-2012", $U$22&lt;&gt;"Female"), IF(MROUND(S92,10)&lt;= 180000, 0, IF(AND(MROUND(S92,10)&gt; 180000, MROUND(S92,10)&lt;= 500000), ROUND(ABS(MROUND(S92,10)- 180000)*0.1,0), IF(AND(MROUND(S92,10)&gt; 500000, MROUND(S92,10)&lt;= 800000),  ROUND(32000+ ABS(MROUND(S92,10)- 500000)*0.2,0),  IF(MROUND(S92,10)&gt; 800000,  ROUND(92000+ABS(MROUND(S92,10)- 800000)*0.3,0),0)))), IF(OR(B92="2012-2013",B92="2013-2014"), IF(MROUND(S92,10)&lt;= 200000, 0, IF(AND(MROUND(S92,10)&gt; 200000, MROUND(S92,10)&lt;= 500000), ROUND(ABS(MROUND(S92,10)- 200000)*0.1,0), IF(AND(MROUND(S92,10)&gt; 500000, MROUND(S92,10)&lt;= 1000000),  ROUND(30000+ ABS(MROUND(S92,10)- 500000)*0.2,0),  IF(MROUND(S92,10)&gt; 1000000,  ROUND(130000+ABS(MROUND(S92,10)- 1000000)*0.3,0),0)))), IF(OR(B92="2014-2015", B92="2015-2016",B92="2016-2017"), IF(MROUND(S92,10)&lt;= 250000, 0, IF(AND(MROUND(S92,10)&gt; 250000, MROUND(S92,10)&lt;= 500000), ROUND(ABS(MROUND(S92,10)- 250000)*0.1,0), IF(AND(MROUND(S92,10)&gt; 500000, MROUND(S92,10)&lt;= 1000000),  ROUND(25000+ ABS(MROUND(S92,10)- 500000)*0.2,0),  IF(MROUND(S92,10)&gt; 1000000,  ROUND(125000+ABS(MROUND(S92,10)- 1000000)*0.3,0), 0)))),IF(OR(B92="2017-2018",B92="2018-2019",B92="2019-2020",AND(B92="2020-2021",'Basic Information'!$AG$12="No"),AND(B92="2021-2022",'Basic Information'!$AG$15="No"),AND(B92="2022-2023",'Basic Information'!$AG$18="No"),AND(B92="2023-2024",'Basic Information'!$AG$21="Yes"),AND(B92="2024-2025",'Basic Information'!$AG$24="Yes")), IF(MROUND(S92,10)&lt;= 250000, 0, IF(AND(MROUND(S92,10)&gt; 250000, MROUND(S92,10)&lt;= 500000), ROUND(ABS(MROUND(S92,10)- 250000)*0.05,0), IF(AND(MROUND(S92,10)&gt; 500000, MROUND(S92,10)&lt;= 1000000),  ROUND(12500+ ABS(MROUND(S92,10)- 500000)*0.2,0),  IF(MROUND(S92,10)&gt; 1000000,  ROUND(112500+ABS(MROUND(S92,10)- 1000000)*0.3,0), 0)))),IF(OR(AND(B92="2020-2021",'Basic Information'!$AG$12="Yes"),AND(B92="2021-2022",'Basic Information'!$AG$15="Yes"),AND(B92="2022-2023",'Basic Information'!$AG$18="Yes")), IF(MROUND(S92,10)&lt;= 250000, 0, IF(AND(MROUND(S92,10)&gt; 250000, MROUND(S92,10)&lt;= 500000), ROUND(ABS(MROUND(S92,10)- 250000)*0.05,0), IF(AND(MROUND(S92,10)&gt; 500000, MROUND(S92,10)&lt;= 750000),  ROUND(12500+ ABS(MROUND(S92,10)- 500000)*0.1,0), IF(AND(MROUND(S92,10)&gt; 750000, MROUND(S92,10)&lt;= 1000000),  ROUND(37500+ ABS(MROUND(S92,10)- 750000)*0.15,0),IF(AND(MROUND(S92,10)&gt; 1000000, MROUND(S92,10)&lt;= 1250000),  ROUND(75000+ ABS(MROUND(S92,10)- 1000000)*0.2,0),IF(AND(MROUND(S92,10)&gt; 1250000, MROUND(S92,10)&lt;= 1500000),  ROUND(125000+ ABS(MROUND(S92,10)- 1250000)*0.25,0), IF(MROUND(S92,10)&gt; 1500000,  ROUND(187500+ABS(MROUND(S92,10)- 1500000)*0.3,0), 0))))))),IF(AND(B92="2023-2024",'Basic Information'!$AG$21="No"), IF(MROUND(S92,10)&lt;= 300000, 0, IF(AND(MROUND(S92,10)&gt; 300000, MROUND(S92,10)&lt;= 600000), ROUND(ABS(MROUND(S92,10)- 300000)*0.05,0), IF(AND(MROUND(S92,10)&gt; 600000, MROUND(S92,10)&lt;= 900000),  ROUND(15000+ ABS(MROUND(S92,10)- 600000)*0.1,0), IF(AND(MROUND(S92,10)&gt; 900000, MROUND(S92,10)&lt;= 1200000),  ROUND(45000+ ABS(MROUND(S92,10)- 900000)*0.15,0),IF(AND(MROUND(S92,10)&gt; 1200000, MROUND(S92,10)&lt;= 1500000),  ROUND(90000+ ABS(MROUND(S92,10)- 1200000)*0.2,0), IF(MROUND(S92,10)&gt; 1500000,  ROUND(150000+ABS(MROUND(S92,10)- 1500000)*0.3,0), 0)))))),IF(AND(B92="2024-2025",'Basic Information'!$AG$24="No"), IF(MROUND(S92,10)&lt;= 300000, 0, IF(AND(MROUND(S92,10)&gt; 300000, MROUND(S92,10)&lt;= 700000), ROUND(ABS(MROUND(S92,10)- 300000)*0.05,0), IF(AND(MROUND(S92,10)&gt; 700000, MROUND(S92,10)&lt;= 1000000),  ROUND(20000+ ABS(MROUND(S92,10)- 700000)*0.1,0), IF(AND(MROUND(S92,10)&gt; 1000000, MROUND(S92,10)&lt;= 1200000),  ROUND(50000+ ABS(MROUND(S92,10)- 1000000)*0.15,0),IF(AND(MROUND(S92,10)&gt; 1200000, MROUND(S92,10)&lt;= 1500000),  ROUND(80000+ ABS(MROUND(S92,10)- 1200000)*0.2,0), IF(MROUND(S92,10)&gt; 1500000,  ROUND(140000+ABS(MROUND(S92,10)- 1500000)*0.3,0), 0)))))),0)))))))))))))))))</f>
        <v>0</v>
      </c>
      <c r="AY92" s="6">
        <f>IF(OR(B92="2013-2014",B92="2014-2015",B92="2015-2016"),IF(AND(MROUND(S92,10)&lt;=500000,MROUND(S92,10)&lt;&gt;0),IF(AX92&lt;=2000, AX92,2000),0), IF(B92="2016-2017",IF(AND(MROUND(S92,10)&lt;=500000, MROUND(S92,10)&lt;&gt;0),IF(AX92&lt;=5000, AX92,5000),0), IF(OR(B92="2017-2018",B92="2018-2019"),IF(AND(MROUND(S92,10)&lt;=350000,MROUND(S92,10)&lt;&gt;0),IF(AX92&lt;=2500, AX92,2500),0), IF(OR(B92="2019-2020",B92="2020-2021",B92="2021-2022",B92="2022-2023",AND(B92="2023-2024",'Basic Information'!$AG$21="Yes"),AND(B92="2024-2025",'Basic Information'!$AG$24="Yes")),IF(AND(MROUND(S92,10)&lt;=500000,MROUND(S92,10)&lt;&gt;0),IF(AX92&lt;=12500, AX92,12500),0), IF(OR(AND(B92="2023-2024",'Basic Information'!$AG$21="No")),IF(AND(MROUND(S92,10)&lt;=700000,MROUND(S92,10)&lt;&gt;0),IF(AX92&lt;=25000, AX92,25000),IF(AND(MROUND(S92,10)&lt;&gt;0,(MROUND(S92,10)-700000)&lt;= AX92), AX92-(MROUND(S92,10)-700000),0)), IF(OR(AND(B92="2024-2025",'Basic Information'!$AG$24="No")),IF(AND(MROUND(S92,10)&lt;=700000,MROUND(S92,10)&lt;&gt;0),IF(AX92&lt;=20000, AX92,20000),IF(AND(MROUND(S92,10)&lt;&gt;0,(MROUND(S92,10)-700000)&lt;= AX92), AX92-(MROUND(S92,10)-700000),0)),0))))))</f>
        <v>0</v>
      </c>
      <c r="AZ92" s="6">
        <f t="shared" ref="AZ92" si="1">IF((AX92&lt;AY92),0,ROUND(ABS(AX92- AY92),0))</f>
        <v>0</v>
      </c>
      <c r="BA92" s="6">
        <f>IF(OR(B92="2005-2006",B92="2006-2007"),ROUND(AZ92*0.02,0),IF(OR(B92="2018-2019",B92="2019-2020",B92="2020-2021",B92="2021-2022",B92="2022-2023",B92="2023-2024",B92="2024-2025"),ROUND(AZ92*0.04,0),ROUND(AZ92*0.03,0)))</f>
        <v>0</v>
      </c>
    </row>
    <row r="93" spans="2:53" x14ac:dyDescent="0.3">
      <c r="B93" s="545" t="str">
        <f>IF(ISBLANK('Form 10E - Old Scheme'!B93),"",'Form 10E - Old Scheme'!B93)</f>
        <v/>
      </c>
      <c r="C93" s="546"/>
      <c r="D93" s="546"/>
      <c r="E93" s="546"/>
      <c r="F93" s="547"/>
      <c r="G93" s="458">
        <f>IF(ISNUMBER('Form 10E - Old Scheme'!G93),'Form 10E - Old Scheme'!G93,0)</f>
        <v>0</v>
      </c>
      <c r="H93" s="459"/>
      <c r="I93" s="459"/>
      <c r="J93" s="459"/>
      <c r="K93" s="459"/>
      <c r="L93" s="460"/>
      <c r="M93" s="458">
        <f>IF(ISNUMBER('Form 10E - Old Scheme'!M93),'Form 10E - Old Scheme'!M93,0)</f>
        <v>0</v>
      </c>
      <c r="N93" s="459"/>
      <c r="O93" s="459"/>
      <c r="P93" s="459"/>
      <c r="Q93" s="459"/>
      <c r="R93" s="460"/>
      <c r="S93" s="458">
        <f t="shared" ref="S93:S100" si="2">SUM(G93,M93)</f>
        <v>0</v>
      </c>
      <c r="T93" s="459"/>
      <c r="U93" s="459"/>
      <c r="V93" s="459"/>
      <c r="W93" s="459"/>
      <c r="X93" s="460"/>
      <c r="Y93" s="458">
        <f t="shared" ref="Y93:Y100" si="3">MROUND(SUM(AV93,AW93),10)</f>
        <v>0</v>
      </c>
      <c r="Z93" s="459"/>
      <c r="AA93" s="459"/>
      <c r="AB93" s="459"/>
      <c r="AC93" s="459"/>
      <c r="AD93" s="460"/>
      <c r="AE93" s="458">
        <f t="shared" ref="AE93:AE100" si="4">SUM(AZ93,BA93)</f>
        <v>0</v>
      </c>
      <c r="AF93" s="459"/>
      <c r="AG93" s="459"/>
      <c r="AH93" s="459"/>
      <c r="AI93" s="459"/>
      <c r="AJ93" s="461"/>
      <c r="AK93" s="462">
        <f t="shared" si="0"/>
        <v>0</v>
      </c>
      <c r="AL93" s="463"/>
      <c r="AM93" s="463"/>
      <c r="AN93" s="463"/>
      <c r="AO93" s="463"/>
      <c r="AP93" s="464"/>
      <c r="AQ93" s="36" t="str">
        <f>IF(AND(OR(NOT(ISBLANK(G93)),NOT(ISBLANK(M93))),OR(ISBLANK(B93),B93="Select")),"Please select a Financial Year","")</f>
        <v/>
      </c>
      <c r="AT93" s="6">
        <f>IF( AND(OR(B93="2005-2006",B93="2006-2007"),$U$22&lt;&gt;"Female"),IF( MROUND(G93,10)&lt;= 100000, 0, IF(AND(MROUND(G93,10)&gt; 100000,MROUND(G93,10)&lt;= 150000),  ROUND(ABS(MROUND(G93,10)- 100000)*0.1,0), IF(AND(MROUND(G93,10)&gt; 150000, MROUND(G93,10)&lt;= 250000), ROUND(5000+ ABS(MROUND(G93,10)- 150000)*0.2,0),IF(MROUND(G93,10)&gt; 250000,  ROUND(25000+ABS(MROUND(G93,10)- 250000)*0.3,0),  0)))),IF(AND(OR(B93="2005-2006",B93="2006-2007"),$U$22="Female"),IF(MROUND(G93,10)&lt;= 135000, 0, IF(AND(MROUND(G93,10)&gt; 135000, MROUND(G93,10)&lt;= 150000), ROUND(ABS(MROUND(G93,10)- 135000)*0.1,0), IF(AND(MROUND(G93,10)&gt; 150000, MROUND(G93,10)&lt;= 250000), ROUND(1500+ ABS(MROUND(G93,10)- 150000)*0.2,0),  IF(MROUND(G93,10)&gt; 250000, ROUND(21500+ABS(MROUND(G93,10)- 250000)*0.3,0),0)))),IF(AND(B93="2007-2008",$U$22&lt;&gt;"Female"), IF(MROUND(G93,10)&lt;= 110000,  0,  IF(AND(MROUND(G93,10)&gt; 110000, MROUND(G93,10)&lt;= 150000), ROUND(ABS(MROUND(G93,10)- 110000)*0.1,0),  IF(AND(MROUND(G93,10)&gt; 150000, MROUND(G93,10)&lt;= 250000),  ROUND(4000+ ABS(MROUND(G93,10)- 150000)*0.2,0),   IF(MROUND(G93,10)&gt; 250000,   ROUND(24000+ABS(MROUND(G93,10)- 250000)*0.3,0),0)))),IF(AND(B93="2007-2008",$U$22="Female"), IF(MROUND(G93,10)&lt;= 145000, 0, IF(AND(MROUND(G93,10)&gt; 145000, MROUND(G93,10)&lt;= 150000),     ROUND(ABS(MROUND(G93,10)- 145000)*0.1,0),  IF(AND(MROUND(G93,10)&gt; 150000, MROUND(G93,10)&lt;= 250000),  ROUND(500+ ABS(MROUND(G93,10)- 150000)*0.2,0),  IF(MROUND(G93,10)&gt; 250000, ROUND(20500+ABS(MROUND(G93,10)- 250000)*0.3,0),0)))), IF(AND(B93="2008-2009",$U$22&lt;&gt;"Female"), IF(MROUND(G93,10)&lt;= 150000, 0, IF(AND(MROUND(G93,10)&gt; 150000, MROUND(G93,10)&lt;= 300000), ROUND(ABS(MROUND(G93,10)- 150000)*0.1,0), IF(AND(MROUND(G93,10)&gt; 300000, MROUND(G93,10)&lt;= 500000),  ROUND(15000+ ABS(MROUND(G93,10)- 300000)*0.2,0),  IF(MROUND(G93,10)&gt; 500000,  ROUND(55000+ABS(MROUND(G93,10)- 500000)*0.3,0),0)))), IF(AND(B93="2008-2009",$U$22="Female"), IF(MROUND(G93,10)&lt;= 180000, 0, IF(AND(MROUND(G93,10)&gt; 180000, MROUND(G93,10)&lt;= 300000), ROUND(ABS(MROUND(G93,10)- 180000)*0.1,0), IF(AND(MROUND(G93,10)&gt; 300000, MROUND(G93,10)&lt;= 500000), ROUND(12000+ ABS(MROUND(G93,10)- 300000)*0.2,0),  IF(MROUND(G93,10)&gt; 500000,  ROUND(52000+ABS(MROUND(G93,10)- 500000)*0.3,0),0)))), IF(AND(B93="2009-2010", $U$22&lt;&gt;"Female"), IF(MROUND(G93,10)&lt;= 160000, 0, IF(AND(MROUND(G93,10)&gt; 160000, MROUND(G93,10)&lt;= 300000),ROUND(ABS(MROUND(G93,10)- 160000)*0.1,0), IF(AND(MROUND(G93,10)&gt; 300000, MROUND(G93,10)&lt;= 500000),ROUND(14000+ ABS(MROUND(G93,10)- 300000)*0.2,0),  IF(MROUND(G93,10)&gt; 500000, ROUND(54000+ABS(MROUND(G93,10)- 500000)*0.3,0),0)))),IF(AND(B93="2009-2010",$U$22="Female"), IF(MROUND(G93,10)&lt;= 190000, 0, IF(AND(MROUND(G93,10)&gt; 190000, MROUND(G93,10)&lt;= 300000),ROUND(ABS(MROUND(G93,10)- 190000)*0.1,0), IF(AND(MROUND(G93,10)&gt; 300000, MROUND(G93,10)&lt;= 500000), ROUND(11000+ ABS(MROUND(G93,10)- 300000)*0.2,0),IF(MROUND(G93,10)&gt; 500000,  ROUND(51000+ABS(MROUND(G93,10)- 500000)*0.3,0),0)))), IF(AND(B93="2010-2011",$U$22&lt;&gt;"Female"), IF(MROUND(G93,10)&lt;= 160000, 0, IF(AND(MROUND(G93,10)&gt; 160000, MROUND(G93,10)&lt;= 500000), ROUND(ABS(MROUND(G93,10)- 160000)*0.1,0), IF(AND(MROUND(G93,10)&gt; 500000, MROUND(G93,10)&lt;= 800000), ROUND(34000+ ABS(MROUND(G93,10)- 500000)*0.2,0),  IF(MROUND(G93,10)&gt; 800000,  ROUND(94000+ABS(MROUND(G93,10)- 800000)*0.3,0),0)))), IF(AND(OR(B93="2010-2011",B93="2011-2012"),$U$22="Female"), IF(MROUND(G93,10)&lt;= 190000, 0, IF(AND(MROUND(G93,10)&gt; 190000, MROUND(G93,10)&lt;= 500000), ROUND(ABS(MROUND(G93,10)- 190000)*0.1,0), IF(AND(MROUND(G93,10)&gt; 500000, MROUND(G93,10)&lt;= 800000),  ROUND(31000+ ABS(MROUND(G93,10)- 500000)*0.2,0),  IF(MROUND(G93,10)&gt; 800000,  ROUND(91000+ABS(MROUND(G93,10)- 800000)*0.3,0),0)))), IF(AND(B93="2011-2012", $U$22&lt;&gt;"Female"), IF(MROUND(G93,10)&lt;= 180000, 0, IF(AND(MROUND(G93,10)&gt; 180000, MROUND(G93,10)&lt;= 500000), ROUND(ABS(MROUND(G93,10)- 180000)*0.1,0), IF(AND(MROUND(G93,10)&gt; 500000, MROUND(G93,10)&lt;= 800000),  ROUND(32000+ ABS(MROUND(G93,10)- 500000)*0.2,0),  IF(MROUND(G93,10)&gt; 800000,  ROUND(92000+ABS(MROUND(G93,10)- 800000)*0.3,0),0)))), IF(OR(B93="2012-2013",B93="2013-2014"), IF(MROUND(G93,10)&lt;= 200000, 0, IF(AND(MROUND(G93,10)&gt; 200000, MROUND(G93,10)&lt;= 500000), ROUND(ABS(MROUND(G93,10)- 200000)*0.1,0), IF(AND(MROUND(G93,10)&gt; 500000, MROUND(G93,10)&lt;= 1000000),  ROUND(30000+ ABS(MROUND(G93,10)- 500000)*0.2,0),  IF(MROUND(G93,10)&gt; 1000000,  ROUND(130000+ABS(MROUND(G93,10)- 1000000)*0.3,0),0)))), IF(OR(B93="2014-2015", B93="2015-2016",B93="2016-2017"), IF(MROUND(G93,10)&lt;= 250000, 0, IF(AND(MROUND(G93,10)&gt; 250000, MROUND(G93,10)&lt;= 500000), ROUND(ABS(MROUND(G93,10)- 250000)*0.1,0), IF(AND(MROUND(G93,10)&gt; 500000, MROUND(G93,10)&lt;= 1000000),  ROUND(25000+ ABS(MROUND(G93,10)- 500000)*0.2,0),  IF(MROUND(G93,10)&gt; 1000000,  ROUND(125000+ABS(MROUND(G93,10)- 1000000)*0.3,0), 0)))), IF(OR(B93="2017-2018",B93="2018-2019",B93="2019-2020",AND(B93="2020-2021",'Basic Information'!$AG$12="No"),AND(B93="2021-2022",'Basic Information'!$AG$15="No"),AND(B93="2022-2023",'Basic Information'!$AG$18="No"),AND(B93="2023-2024",'Basic Information'!$AG$21="Yes"),AND(B93="2024-2025",'Basic Information'!$AG$24="Yes")), IF(MROUND(G93,10)&lt;= 250000, 0, IF(AND(MROUND(G93,10)&gt; 250000, MROUND(G93,10)&lt;= 500000), ROUND(ABS(MROUND(G93,10)- 250000)*0.05,0), IF(AND(MROUND(G93,10)&gt; 500000, MROUND(G93,10)&lt;= 1000000),  ROUND(12500+ ABS(MROUND(G93,10)- 500000)*0.2,0),  IF(MROUND(G93,10)&gt; 1000000,  ROUND(112500+ABS(MROUND(G93,10)- 1000000)*0.3,0), 0)))),IF(OR(AND(B93="2020-2021",'Basic Information'!$AG$12="Yes"),AND(B93="2021-2022",'Basic Information'!$AG$15="Yes"),AND(B93="2022-2023",'Basic Information'!$AG$18="Yes")), IF(MROUND(G93,10)&lt;= 250000, 0, IF(AND(MROUND(G93,10)&gt; 250000, MROUND(G93,10)&lt;= 500000), ROUND(ABS(MROUND(G93,10)- 250000)*0.05,0), IF(AND(MROUND(G93,10)&gt; 500000, MROUND(G93,10)&lt;= 750000),  ROUND(12500+ ABS(MROUND(G93,10)- 500000)*0.1,0), IF(AND(MROUND(G93,10)&gt; 750000, MROUND(G93,10)&lt;= 1000000),  ROUND(37500+ ABS(MROUND(G93,10)- 750000)*0.15,0),IF(AND(MROUND(G93,10)&gt; 1000000, MROUND(G93,10)&lt;= 1250000),  ROUND(75000+ ABS(MROUND(G93,10)- 1000000)*0.2,0),IF(AND(MROUND(G93,10)&gt; 1250000, MROUND(G93,10)&lt;= 1500000),  ROUND(125000+ ABS(MROUND(G93,10)- 1250000)*0.25,0), IF(MROUND(G93,10)&gt; 1500000,  ROUND(187500+ABS(MROUND(G93,10)- 1500000)*0.3,0), 0))))))),IF(AND(B93="2023-2024",'Basic Information'!$AG$21="No"), IF(MROUND(G93,10)&lt;= 300000, 0, IF(AND(MROUND(G93,10)&gt; 300000, MROUND(G93,10)&lt;= 600000), ROUND(ABS(MROUND(G93,10)- 300000)*0.05,0), IF(AND(MROUND(G93,10)&gt; 600000, MROUND(G93,10)&lt;= 900000),  ROUND(15000+ ABS(MROUND(G93,10)- 600000)*0.1,0), IF(AND(MROUND(G93,10)&gt; 900000, MROUND(G93,10)&lt;= 1200000),  ROUND(45000+ ABS(MROUND(G93,10)- 900000)*0.15,0),IF(AND(MROUND(G93,10)&gt; 1200000, MROUND(G93,10)&lt;= 1500000),  ROUND(90000+ ABS(MROUND(G93,10)- 1200000)*0.2,0), IF(MROUND(G93,10)&gt; 1500000,  ROUND(150000+ABS(MROUND(G93,10)- 1500000)*0.3,0), 0)))))),IF(AND(B93="2024-2025",'Basic Information'!$AG$24="No"), IF(MROUND(G93,10)&lt;= 300000, 0, IF(AND(MROUND(G93,10)&gt; 300000, MROUND(G93,10)&lt;= 700000), ROUND(ABS(MROUND(G93,10)- 300000)*0.05,0), IF(AND(MROUND(G93,10)&gt; 700000, MROUND(G93,10)&lt;= 1000000),  ROUND(20000+ ABS(MROUND(G93,10)- 700000)*0.1,0), IF(AND(MROUND(G93,10)&gt; 1000000, MROUND(G93,10)&lt;= 1200000),  ROUND(50000+ ABS(MROUND(G93,10)- 1000000)*0.15,0),IF(AND(MROUND(G93,10)&gt; 1200000, MROUND(G93,10)&lt;= 1500000),  ROUND(80000+ ABS(MROUND(G93,10)- 1200000)*0.2,0), IF(MROUND(G93,10)&gt; 1500000,  ROUND(140000+ABS(MROUND(G93,10)- 1500000)*0.3,0), 0)))))),0)))))))))))))))))</f>
        <v>0</v>
      </c>
      <c r="AU93" s="6">
        <f>IF(OR(B93="2013-2014",B93="2014-2015",B93="2015-2016"),IF(AND(MROUND(G93,10)&lt;=500000,MROUND(G93,10)&lt;&gt;0),IF(AT93&lt;=2000, AT93,2000),0), IF(B93="2016-2017",IF(AND(MROUND(G93,10)&lt;=500000,MROUND(G93,10)&lt;&gt;0),IF(AT93&lt;=5000, AT93,5000),0), IF(OR(B93="2017-2018",B93="2018-2019"),IF(AND(MROUND(G93,10)&lt;=350000,MROUND(G93,10)&lt;&gt;0),IF(AT93&lt;=2500, AT93,2500),0), IF(OR(B93="2019-2020",B93="2020-2021",B93="2021-2022",B93="2022-2023",AND(B93="2023-2024",'Basic Information'!$AG$21="Yes"),AND(B93="2024-2025",'Basic Information'!$AG$24="Yes")),IF(AND(MROUND(G93,10)&lt;=500000,MROUND(G93,10)&lt;&gt;0),IF(AT93&lt;=12500, AT93,12500),0), IF(OR(AND(B93="2023-2024",'Basic Information'!$AG$21="No")),IF(AND(MROUND(G93,10)&lt;=700000,MROUND(G93,10)&lt;&gt;0),IF(AT93&lt;=25000, AT93,25000),IF(AND(MROUND(G93,10)&lt;&gt;0,(MROUND(G93,10)-700000)&lt;=AT93),AT93-(MROUND(G93,10)-700000),0)), IF(OR(AND(B93="2024-2025",'Basic Information'!$AG$24="No")),IF(AND(MROUND(G93,10)&lt;=700000,MROUND(G93,10)&lt;&gt;0),IF(AT93&lt;=20000, AT93,20000),IF(AND(MROUND(G93,10)&lt;&gt;0,(MROUND(G93,10)-700000)&lt;=AT93),AT93-(MROUND(G93,10)-700000),0)),0))))))</f>
        <v>0</v>
      </c>
      <c r="AV93" s="6">
        <f t="shared" ref="AV93:AV101" si="5">IF((AT93&lt;AU93),0,ROUND(ABS(AT93- AU93),0))</f>
        <v>0</v>
      </c>
      <c r="AW93" s="6">
        <f t="shared" ref="AW93:AW101" si="6">IF(OR(B93="2005-2006",B93="2006-2007"),ROUND(AV93*0.02,0),IF(OR(B93="2018-2019",B93="2019-2020",B93="2020-2021",B93="2021-2022",B93="2022-2023",B93="2023-2024",B93="2024-2025"),ROUND(AV93*0.04,0),ROUND(AV93*0.03,0)))</f>
        <v>0</v>
      </c>
      <c r="AX93" s="6">
        <f>IF( AND(OR(B93="2005-2006",B93="2006-2007"),$U$22&lt;&gt;"Female"),IF( MROUND(S93,10)&lt;= 100000, 0, IF(AND(MROUND(S93,10)&gt; 100000,MROUND(S93,10)&lt;= 150000),  ROUND(ABS(MROUND(S93,10)- 100000)*0.1,0), IF(AND(MROUND(S93,10)&gt; 150000, MROUND(S93,10)&lt;= 250000), ROUND(5000+ ABS(MROUND(S93,10)- 150000)*0.2,0),IF(MROUND(S93,10)&gt; 250000,  ROUND(25000+ABS(MROUND(S93,10)- 250000)*0.3,0),  0)))),IF(AND(OR(B93="2005-2006",B93="2006-2007"),$U$22="Female"),IF(MROUND(S93,10)&lt;= 135000, 0, IF(AND(MROUND(S93,10)&gt; 135000, MROUND(S93,10)&lt;= 150000), ROUND(ABS(MROUND(S93,10)- 135000)*0.1,0), IF(AND(MROUND(S93,10)&gt; 150000, MROUND(S93,10)&lt;= 250000), ROUND(1500+ ABS(MROUND(S93,10)- 150000)*0.2,0),  IF(MROUND(S93,10)&gt; 250000, ROUND(21500+ABS(MROUND(S93,10)- 250000)*0.3,0),0)))),IF(AND(B93="2007-2008",$U$22&lt;&gt;"Female"), IF(MROUND(S93,10)&lt;= 110000,  0,  IF(AND(MROUND(S93,10)&gt; 110000, MROUND(S93,10)&lt;= 150000),     ROUND(ABS(MROUND(S93,10)- 110000)*0.1,0),  IF(AND(MROUND(S93,10)&gt; 150000, MROUND(S93,10)&lt;= 250000),  ROUND(4000+ ABS(MROUND(S93,10)- 150000)*0.2,0),   IF(MROUND(S93,10)&gt; 250000,   ROUND(24000+ABS(MROUND(S93,10)- 250000)*0.3,0),0)))),IF(AND(B93="2007-2008",$U$22="Female"), IF(MROUND(S93,10)&lt;= 145000, 0, IF(AND(MROUND(S93,10)&gt; 145000, MROUND(S93,10)&lt;= 150000),     ROUND(ABS(MROUND(S93,10)- 145000)*0.1,0),  IF(AND(MROUND(S93,10)&gt; 150000, MROUND(S93,10)&lt;= 250000),  ROUND(500+ ABS(MROUND(S93,10)- 150000)*0.2,0),  IF(MROUND(S93,10)&gt; 250000, ROUND(20500+ABS(MROUND(S93,10)- 250000)*0.3,0),0)))), IF(AND(B93="2008-2009",$U$22&lt;&gt;"Female"), IF(MROUND(S93,10)&lt;= 150000, 0, IF(AND(MROUND(S93,10)&gt; 150000, MROUND(S93,10)&lt;= 300000), ROUND(ABS(MROUND(S93,10)- 150000)*0.1,0), IF(AND(MROUND(S93,10)&gt; 300000, MROUND(S93,10)&lt;= 500000),  ROUND(15000+ ABS(MROUND(S93,10)- 300000)*0.2,0),  IF(MROUND(S93,10)&gt; 500000,  ROUND(55000+ABS(MROUND(S93,10)- 500000)*0.3,0),0)))), IF(AND(B93="2008-2009",$U$22="Female"), IF(MROUND(S93,10)&lt;= 180000, 0, IF(AND(MROUND(S93,10)&gt; 180000, MROUND(S93,10)&lt;= 300000), ROUND(ABS(MROUND(S93,10)- 180000)*0.1,0), IF(AND(MROUND(S93,10)&gt; 300000, MROUND(S93,10)&lt;= 500000), ROUND(12000+ ABS(MROUND(S93,10)- 300000)*0.2,0),  IF(MROUND(S93,10)&gt; 500000,  ROUND(52000+ABS(MROUND(S93,10)- 500000)*0.3,0),0)))), IF(AND(B93="2009-2010", $U$22&lt;&gt;"Female"), IF(MROUND(S93,10)&lt;= 160000, 0, IF(AND(MROUND(S93,10)&gt; 160000, MROUND(S93,10)&lt;= 300000),ROUND(ABS(MROUND(S93,10)- 160000)*0.1,0), IF(AND(MROUND(S93,10)&gt; 300000, MROUND(S93,10)&lt;= 500000),ROUND(14000+ ABS(MROUND(S93,10)- 300000)*0.2,0),  IF(MROUND(S93,10)&gt; 500000, ROUND(54000+ABS(MROUND(S93,10)- 500000)*0.3,0),0)))),IF(AND(B93="2009-2010",$U$22="Female"), IF(MROUND(S93,10)&lt;= 190000, 0, IF(AND(MROUND(S93,10)&gt; 190000, MROUND(S93,10)&lt;= 300000),ROUND(ABS(MROUND(S93,10)- 190000)*0.1,0), IF(AND(MROUND(S93,10)&gt; 300000, MROUND(S93,10)&lt;= 500000), ROUND(11000+ ABS(MROUND(S93,10)- 300000)*0.2,0),IF(MROUND(S93,10)&gt; 500000,  ROUND(51000+ABS(MROUND(S93,10)- 500000)*0.3,0),0)))), IF(AND(B93="2010-2011",$U$22&lt;&gt;"Female"), IF(MROUND(S93,10)&lt;= 160000, 0, IF(AND(MROUND(S93,10)&gt; 160000, MROUND(S93,10)&lt;= 500000), ROUND(ABS(MROUND(S93,10)- 160000)*0.1,0), IF(AND(MROUND(S93,10)&gt; 500000, MROUND(S93,10)&lt;= 800000), ROUND(34000+ ABS(MROUND(S93,10)- 500000)*0.2,0),  IF(MROUND(S93,10)&gt; 800000,  ROUND(94000+ABS(MROUND(S93,10)- 800000)*0.3,0),0)))), IF(AND(OR(B93="2010-2011",B93="2011-2012"),$U$22="Female"), IF(MROUND(S93,10)&lt;= 190000, 0, IF(AND(MROUND(S93,10)&gt; 190000, MROUND(S93,10)&lt;= 500000), ROUND(ABS(MROUND(S93,10)- 190000)*0.1,0), IF(AND(MROUND(S93,10)&gt; 500000, MROUND(S93,10)&lt;= 800000),  ROUND(31000+ ABS(MROUND(S93,10)- 500000)*0.2,0),  IF(MROUND(S93,10)&gt; 800000,  ROUND(91000+ABS(MROUND(S93,10)- 800000)*0.3,0),0)))), IF(AND(B93="2011-2012", $U$22&lt;&gt;"Female"), IF(MROUND(S93,10)&lt;= 180000, 0, IF(AND(MROUND(S93,10)&gt; 180000, MROUND(S93,10)&lt;= 500000), ROUND(ABS(MROUND(S93,10)- 180000)*0.1,0), IF(AND(MROUND(S93,10)&gt; 500000, MROUND(S93,10)&lt;= 800000),  ROUND(32000+ ABS(MROUND(S93,10)- 500000)*0.2,0),  IF(MROUND(S93,10)&gt; 800000,  ROUND(92000+ABS(MROUND(S93,10)- 800000)*0.3,0),0)))), IF(OR(B93="2012-2013",B93="2013-2014"), IF(MROUND(S93,10)&lt;= 200000, 0, IF(AND(MROUND(S93,10)&gt; 200000, MROUND(S93,10)&lt;= 500000), ROUND(ABS(MROUND(S93,10)- 200000)*0.1,0), IF(AND(MROUND(S93,10)&gt; 500000, MROUND(S93,10)&lt;= 1000000),  ROUND(30000+ ABS(MROUND(S93,10)- 500000)*0.2,0),  IF(MROUND(S93,10)&gt; 1000000,  ROUND(130000+ABS(MROUND(S93,10)- 1000000)*0.3,0),0)))), IF(OR(B93="2014-2015", B93="2015-2016",B93="2016-2017"), IF(MROUND(S93,10)&lt;= 250000, 0, IF(AND(MROUND(S93,10)&gt; 250000, MROUND(S93,10)&lt;= 500000), ROUND(ABS(MROUND(S93,10)- 250000)*0.1,0), IF(AND(MROUND(S93,10)&gt; 500000, MROUND(S93,10)&lt;= 1000000),  ROUND(25000+ ABS(MROUND(S93,10)- 500000)*0.2,0),  IF(MROUND(S93,10)&gt; 1000000,  ROUND(125000+ABS(MROUND(S93,10)- 1000000)*0.3,0), 0)))),IF(OR(B93="2017-2018",B93="2018-2019",B93="2019-2020",AND(B93="2020-2021",'Basic Information'!$AG$12="No"),AND(B93="2021-2022",'Basic Information'!$AG$15="No"),AND(B93="2022-2023",'Basic Information'!$AG$18="No"),AND(B93="2023-2024",'Basic Information'!$AG$21="Yes"),AND(B93="2024-2025",'Basic Information'!$AG$24="Yes")), IF(MROUND(S93,10)&lt;= 250000, 0, IF(AND(MROUND(S93,10)&gt; 250000, MROUND(S93,10)&lt;= 500000), ROUND(ABS(MROUND(S93,10)- 250000)*0.05,0), IF(AND(MROUND(S93,10)&gt; 500000, MROUND(S93,10)&lt;= 1000000),  ROUND(12500+ ABS(MROUND(S93,10)- 500000)*0.2,0),  IF(MROUND(S93,10)&gt; 1000000,  ROUND(112500+ABS(MROUND(S93,10)- 1000000)*0.3,0), 0)))),IF(OR(AND(B93="2020-2021",'Basic Information'!$AG$12="Yes"),AND(B93="2021-2022",'Basic Information'!$AG$15="Yes"),AND(B93="2022-2023",'Basic Information'!$AG$18="Yes")), IF(MROUND(S93,10)&lt;= 250000, 0, IF(AND(MROUND(S93,10)&gt; 250000, MROUND(S93,10)&lt;= 500000), ROUND(ABS(MROUND(S93,10)- 250000)*0.05,0), IF(AND(MROUND(S93,10)&gt; 500000, MROUND(S93,10)&lt;= 750000),  ROUND(12500+ ABS(MROUND(S93,10)- 500000)*0.1,0), IF(AND(MROUND(S93,10)&gt; 750000, MROUND(S93,10)&lt;= 1000000),  ROUND(37500+ ABS(MROUND(S93,10)- 750000)*0.15,0),IF(AND(MROUND(S93,10)&gt; 1000000, MROUND(S93,10)&lt;= 1250000),  ROUND(75000+ ABS(MROUND(S93,10)- 1000000)*0.2,0),IF(AND(MROUND(S93,10)&gt; 1250000, MROUND(S93,10)&lt;= 1500000),  ROUND(125000+ ABS(MROUND(S93,10)- 1250000)*0.25,0), IF(MROUND(S93,10)&gt; 1500000,  ROUND(187500+ABS(MROUND(S93,10)- 1500000)*0.3,0), 0))))))),IF(AND(B93="2023-2024",'Basic Information'!$AG$21="No"), IF(MROUND(S93,10)&lt;= 300000, 0, IF(AND(MROUND(S93,10)&gt; 300000, MROUND(S93,10)&lt;= 600000), ROUND(ABS(MROUND(S93,10)- 300000)*0.05,0), IF(AND(MROUND(S93,10)&gt; 600000, MROUND(S93,10)&lt;= 900000),  ROUND(15000+ ABS(MROUND(S93,10)- 600000)*0.1,0), IF(AND(MROUND(S93,10)&gt; 900000, MROUND(S93,10)&lt;= 1200000),  ROUND(45000+ ABS(MROUND(S93,10)- 900000)*0.15,0),IF(AND(MROUND(S93,10)&gt; 1200000, MROUND(S93,10)&lt;= 1500000),  ROUND(90000+ ABS(MROUND(S93,10)- 1200000)*0.2,0), IF(MROUND(S93,10)&gt; 1500000,  ROUND(150000+ABS(MROUND(S93,10)- 1500000)*0.3,0), 0)))))),IF(AND(B93="2024-2025",'Basic Information'!$AG$24="No"), IF(MROUND(S93,10)&lt;= 300000, 0, IF(AND(MROUND(S93,10)&gt; 300000, MROUND(S93,10)&lt;= 700000), ROUND(ABS(MROUND(S93,10)- 300000)*0.05,0), IF(AND(MROUND(S93,10)&gt; 700000, MROUND(S93,10)&lt;= 1000000),  ROUND(20000+ ABS(MROUND(S93,10)- 700000)*0.1,0), IF(AND(MROUND(S93,10)&gt; 1000000, MROUND(S93,10)&lt;= 1200000),  ROUND(50000+ ABS(MROUND(S93,10)- 1000000)*0.15,0),IF(AND(MROUND(S93,10)&gt; 1200000, MROUND(S93,10)&lt;= 1500000),  ROUND(80000+ ABS(MROUND(S93,10)- 1200000)*0.2,0), IF(MROUND(S93,10)&gt; 1500000,  ROUND(140000+ABS(MROUND(S93,10)- 1500000)*0.3,0), 0)))))),0)))))))))))))))))</f>
        <v>0</v>
      </c>
      <c r="AY93" s="6">
        <f>IF(OR(B93="2013-2014",B93="2014-2015",B93="2015-2016"),IF(AND(MROUND(S93,10)&lt;=500000,MROUND(S93,10)&lt;&gt;0),IF(AX93&lt;=2000, AX93,2000),0), IF(B93="2016-2017",IF(AND(MROUND(S93,10)&lt;=500000, MROUND(S93,10)&lt;&gt;0),IF(AX93&lt;=5000, AX93,5000),0), IF(OR(B93="2017-2018",B93="2018-2019"),IF(AND(MROUND(S93,10)&lt;=350000,MROUND(S93,10)&lt;&gt;0),IF(AX93&lt;=2500, AX93,2500),0), IF(OR(B93="2019-2020",B93="2020-2021",B93="2021-2022",B93="2022-2023",AND(B93="2023-2024",'Basic Information'!$AG$21="Yes"),AND(B93="2024-2025",'Basic Information'!$AG$24="Yes")),IF(AND(MROUND(S93,10)&lt;=500000,MROUND(S93,10)&lt;&gt;0),IF(AX93&lt;=12500, AX93,12500),0), IF(OR(AND(B93="2023-2024",'Basic Information'!$AG$21="No")),IF(AND(MROUND(S93,10)&lt;=700000,MROUND(S93,10)&lt;&gt;0),IF(AX93&lt;=25000, AX93,25000),IF(AND(MROUND(S93,10)&lt;&gt;0,(MROUND(S93,10)-700000)&lt;= AX93), AX93-(MROUND(S93,10)-700000),0)), IF(OR(AND(B93="2024-2025",'Basic Information'!$AG$24="No")),IF(AND(MROUND(S93,10)&lt;=700000,MROUND(S93,10)&lt;&gt;0),IF(AX93&lt;=20000, AX93,20000),IF(AND(MROUND(S93,10)&lt;&gt;0,(MROUND(S93,10)-700000)&lt;= AX93), AX93-(MROUND(S93,10)-700000),0)),0))))))</f>
        <v>0</v>
      </c>
      <c r="AZ93" s="6">
        <f t="shared" ref="AZ93:AZ101" si="7">IF((AX93&lt;AY93),0,ROUND(ABS(AX93- AY93),0))</f>
        <v>0</v>
      </c>
      <c r="BA93" s="6">
        <f t="shared" ref="BA93:BA101" si="8">IF(OR(B93="2005-2006",B93="2006-2007"),ROUND(AZ93*0.02,0),IF(OR(B93="2018-2019",B93="2019-2020",B93="2020-2021",B93="2021-2022",B93="2022-2023",B93="2023-2024",B93="2024-2025"),ROUND(AZ93*0.04,0),ROUND(AZ93*0.03,0)))</f>
        <v>0</v>
      </c>
    </row>
    <row r="94" spans="2:53" x14ac:dyDescent="0.3">
      <c r="B94" s="545" t="str">
        <f>IF(ISBLANK('Form 10E - Old Scheme'!B94),"",'Form 10E - Old Scheme'!B94)</f>
        <v/>
      </c>
      <c r="C94" s="546"/>
      <c r="D94" s="546"/>
      <c r="E94" s="546"/>
      <c r="F94" s="547"/>
      <c r="G94" s="458">
        <f>IF(ISNUMBER('Form 10E - Old Scheme'!G94),'Form 10E - Old Scheme'!G94,0)</f>
        <v>0</v>
      </c>
      <c r="H94" s="459"/>
      <c r="I94" s="459"/>
      <c r="J94" s="459"/>
      <c r="K94" s="459"/>
      <c r="L94" s="460"/>
      <c r="M94" s="458">
        <f>IF(ISNUMBER('Form 10E - Old Scheme'!M94),'Form 10E - Old Scheme'!M94,0)</f>
        <v>0</v>
      </c>
      <c r="N94" s="459"/>
      <c r="O94" s="459"/>
      <c r="P94" s="459"/>
      <c r="Q94" s="459"/>
      <c r="R94" s="460"/>
      <c r="S94" s="458">
        <f t="shared" si="2"/>
        <v>0</v>
      </c>
      <c r="T94" s="459"/>
      <c r="U94" s="459"/>
      <c r="V94" s="459"/>
      <c r="W94" s="459"/>
      <c r="X94" s="460"/>
      <c r="Y94" s="458">
        <f t="shared" si="3"/>
        <v>0</v>
      </c>
      <c r="Z94" s="459"/>
      <c r="AA94" s="459"/>
      <c r="AB94" s="459"/>
      <c r="AC94" s="459"/>
      <c r="AD94" s="460"/>
      <c r="AE94" s="458">
        <f t="shared" si="4"/>
        <v>0</v>
      </c>
      <c r="AF94" s="459"/>
      <c r="AG94" s="459"/>
      <c r="AH94" s="459"/>
      <c r="AI94" s="459"/>
      <c r="AJ94" s="461"/>
      <c r="AK94" s="462">
        <f t="shared" si="0"/>
        <v>0</v>
      </c>
      <c r="AL94" s="463"/>
      <c r="AM94" s="463"/>
      <c r="AN94" s="463"/>
      <c r="AO94" s="463"/>
      <c r="AP94" s="464"/>
      <c r="AQ94" s="36" t="str">
        <f>IF(AND(OR(NOT(ISBLANK(G94)),NOT(ISBLANK(M94))),OR(ISBLANK(B94),B94="Select")),"Please select a Financial Year","")</f>
        <v/>
      </c>
      <c r="AT94" s="6">
        <f>IF( AND(OR(B94="2005-2006",B94="2006-2007"),$U$22&lt;&gt;"Female"),IF( MROUND(G94,10)&lt;= 100000, 0, IF(AND(MROUND(G94,10)&gt; 100000,MROUND(G94,10)&lt;= 150000),  ROUND(ABS(MROUND(G94,10)- 100000)*0.1,0), IF(AND(MROUND(G94,10)&gt; 150000, MROUND(G94,10)&lt;= 250000), ROUND(5000+ ABS(MROUND(G94,10)- 150000)*0.2,0),IF(MROUND(G94,10)&gt; 250000,  ROUND(25000+ABS(MROUND(G94,10)- 250000)*0.3,0),  0)))),IF(AND(OR(B94="2005-2006",B94="2006-2007"),$U$22="Female"),IF(MROUND(G94,10)&lt;= 135000, 0, IF(AND(MROUND(G94,10)&gt; 135000, MROUND(G94,10)&lt;= 150000), ROUND(ABS(MROUND(G94,10)- 135000)*0.1,0), IF(AND(MROUND(G94,10)&gt; 150000, MROUND(G94,10)&lt;= 250000), ROUND(1500+ ABS(MROUND(G94,10)- 150000)*0.2,0),  IF(MROUND(G94,10)&gt; 250000, ROUND(21500+ABS(MROUND(G94,10)- 250000)*0.3,0),0)))),IF(AND(B94="2007-2008",$U$22&lt;&gt;"Female"), IF(MROUND(G94,10)&lt;= 110000,  0,  IF(AND(MROUND(G94,10)&gt; 110000, MROUND(G94,10)&lt;= 150000), ROUND(ABS(MROUND(G94,10)- 110000)*0.1,0),  IF(AND(MROUND(G94,10)&gt; 150000, MROUND(G94,10)&lt;= 250000),  ROUND(4000+ ABS(MROUND(G94,10)- 150000)*0.2,0),   IF(MROUND(G94,10)&gt; 250000,   ROUND(24000+ABS(MROUND(G94,10)- 250000)*0.3,0),0)))),IF(AND(B94="2007-2008",$U$22="Female"), IF(MROUND(G94,10)&lt;= 145000, 0, IF(AND(MROUND(G94,10)&gt; 145000, MROUND(G94,10)&lt;= 150000),     ROUND(ABS(MROUND(G94,10)- 145000)*0.1,0),  IF(AND(MROUND(G94,10)&gt; 150000, MROUND(G94,10)&lt;= 250000),  ROUND(500+ ABS(MROUND(G94,10)- 150000)*0.2,0),  IF(MROUND(G94,10)&gt; 250000, ROUND(20500+ABS(MROUND(G94,10)- 250000)*0.3,0),0)))), IF(AND(B94="2008-2009",$U$22&lt;&gt;"Female"), IF(MROUND(G94,10)&lt;= 150000, 0, IF(AND(MROUND(G94,10)&gt; 150000, MROUND(G94,10)&lt;= 300000), ROUND(ABS(MROUND(G94,10)- 150000)*0.1,0), IF(AND(MROUND(G94,10)&gt; 300000, MROUND(G94,10)&lt;= 500000),  ROUND(15000+ ABS(MROUND(G94,10)- 300000)*0.2,0),  IF(MROUND(G94,10)&gt; 500000,  ROUND(55000+ABS(MROUND(G94,10)- 500000)*0.3,0),0)))), IF(AND(B94="2008-2009",$U$22="Female"), IF(MROUND(G94,10)&lt;= 180000, 0, IF(AND(MROUND(G94,10)&gt; 180000, MROUND(G94,10)&lt;= 300000), ROUND(ABS(MROUND(G94,10)- 180000)*0.1,0), IF(AND(MROUND(G94,10)&gt; 300000, MROUND(G94,10)&lt;= 500000), ROUND(12000+ ABS(MROUND(G94,10)- 300000)*0.2,0),  IF(MROUND(G94,10)&gt; 500000,  ROUND(52000+ABS(MROUND(G94,10)- 500000)*0.3,0),0)))), IF(AND(B94="2009-2010", $U$22&lt;&gt;"Female"), IF(MROUND(G94,10)&lt;= 160000, 0, IF(AND(MROUND(G94,10)&gt; 160000, MROUND(G94,10)&lt;= 300000),ROUND(ABS(MROUND(G94,10)- 160000)*0.1,0), IF(AND(MROUND(G94,10)&gt; 300000, MROUND(G94,10)&lt;= 500000),ROUND(14000+ ABS(MROUND(G94,10)- 300000)*0.2,0),  IF(MROUND(G94,10)&gt; 500000, ROUND(54000+ABS(MROUND(G94,10)- 500000)*0.3,0),0)))),IF(AND(B94="2009-2010",$U$22="Female"), IF(MROUND(G94,10)&lt;= 190000, 0, IF(AND(MROUND(G94,10)&gt; 190000, MROUND(G94,10)&lt;= 300000),ROUND(ABS(MROUND(G94,10)- 190000)*0.1,0), IF(AND(MROUND(G94,10)&gt; 300000, MROUND(G94,10)&lt;= 500000), ROUND(11000+ ABS(MROUND(G94,10)- 300000)*0.2,0),IF(MROUND(G94,10)&gt; 500000,  ROUND(51000+ABS(MROUND(G94,10)- 500000)*0.3,0),0)))), IF(AND(B94="2010-2011",$U$22&lt;&gt;"Female"), IF(MROUND(G94,10)&lt;= 160000, 0, IF(AND(MROUND(G94,10)&gt; 160000, MROUND(G94,10)&lt;= 500000), ROUND(ABS(MROUND(G94,10)- 160000)*0.1,0), IF(AND(MROUND(G94,10)&gt; 500000, MROUND(G94,10)&lt;= 800000), ROUND(34000+ ABS(MROUND(G94,10)- 500000)*0.2,0),  IF(MROUND(G94,10)&gt; 800000,  ROUND(94000+ABS(MROUND(G94,10)- 800000)*0.3,0),0)))), IF(AND(OR(B94="2010-2011",B94="2011-2012"),$U$22="Female"), IF(MROUND(G94,10)&lt;= 190000, 0, IF(AND(MROUND(G94,10)&gt; 190000, MROUND(G94,10)&lt;= 500000), ROUND(ABS(MROUND(G94,10)- 190000)*0.1,0), IF(AND(MROUND(G94,10)&gt; 500000, MROUND(G94,10)&lt;= 800000),  ROUND(31000+ ABS(MROUND(G94,10)- 500000)*0.2,0),  IF(MROUND(G94,10)&gt; 800000,  ROUND(91000+ABS(MROUND(G94,10)- 800000)*0.3,0),0)))), IF(AND(B94="2011-2012", $U$22&lt;&gt;"Female"), IF(MROUND(G94,10)&lt;= 180000, 0, IF(AND(MROUND(G94,10)&gt; 180000, MROUND(G94,10)&lt;= 500000), ROUND(ABS(MROUND(G94,10)- 180000)*0.1,0), IF(AND(MROUND(G94,10)&gt; 500000, MROUND(G94,10)&lt;= 800000),  ROUND(32000+ ABS(MROUND(G94,10)- 500000)*0.2,0),  IF(MROUND(G94,10)&gt; 800000,  ROUND(92000+ABS(MROUND(G94,10)- 800000)*0.3,0),0)))), IF(OR(B94="2012-2013",B94="2013-2014"), IF(MROUND(G94,10)&lt;= 200000, 0, IF(AND(MROUND(G94,10)&gt; 200000, MROUND(G94,10)&lt;= 500000), ROUND(ABS(MROUND(G94,10)- 200000)*0.1,0), IF(AND(MROUND(G94,10)&gt; 500000, MROUND(G94,10)&lt;= 1000000),  ROUND(30000+ ABS(MROUND(G94,10)- 500000)*0.2,0),  IF(MROUND(G94,10)&gt; 1000000,  ROUND(130000+ABS(MROUND(G94,10)- 1000000)*0.3,0),0)))), IF(OR(B94="2014-2015", B94="2015-2016",B94="2016-2017"), IF(MROUND(G94,10)&lt;= 250000, 0, IF(AND(MROUND(G94,10)&gt; 250000, MROUND(G94,10)&lt;= 500000), ROUND(ABS(MROUND(G94,10)- 250000)*0.1,0), IF(AND(MROUND(G94,10)&gt; 500000, MROUND(G94,10)&lt;= 1000000),  ROUND(25000+ ABS(MROUND(G94,10)- 500000)*0.2,0),  IF(MROUND(G94,10)&gt; 1000000,  ROUND(125000+ABS(MROUND(G94,10)- 1000000)*0.3,0), 0)))), IF(OR(B94="2017-2018",B94="2018-2019",B94="2019-2020",AND(B94="2020-2021",'Basic Information'!$AG$12="No"),AND(B94="2021-2022",'Basic Information'!$AG$15="No"),AND(B94="2022-2023",'Basic Information'!$AG$18="No"),AND(B94="2023-2024",'Basic Information'!$AG$21="Yes"),AND(B94="2024-2025",'Basic Information'!$AG$24="Yes")), IF(MROUND(G94,10)&lt;= 250000, 0, IF(AND(MROUND(G94,10)&gt; 250000, MROUND(G94,10)&lt;= 500000), ROUND(ABS(MROUND(G94,10)- 250000)*0.05,0), IF(AND(MROUND(G94,10)&gt; 500000, MROUND(G94,10)&lt;= 1000000),  ROUND(12500+ ABS(MROUND(G94,10)- 500000)*0.2,0),  IF(MROUND(G94,10)&gt; 1000000,  ROUND(112500+ABS(MROUND(G94,10)- 1000000)*0.3,0), 0)))),IF(OR(AND(B94="2020-2021",'Basic Information'!$AG$12="Yes"),AND(B94="2021-2022",'Basic Information'!$AG$15="Yes"),AND(B94="2022-2023",'Basic Information'!$AG$18="Yes")), IF(MROUND(G94,10)&lt;= 250000, 0, IF(AND(MROUND(G94,10)&gt; 250000, MROUND(G94,10)&lt;= 500000), ROUND(ABS(MROUND(G94,10)- 250000)*0.05,0), IF(AND(MROUND(G94,10)&gt; 500000, MROUND(G94,10)&lt;= 750000),  ROUND(12500+ ABS(MROUND(G94,10)- 500000)*0.1,0), IF(AND(MROUND(G94,10)&gt; 750000, MROUND(G94,10)&lt;= 1000000),  ROUND(37500+ ABS(MROUND(G94,10)- 750000)*0.15,0),IF(AND(MROUND(G94,10)&gt; 1000000, MROUND(G94,10)&lt;= 1250000),  ROUND(75000+ ABS(MROUND(G94,10)- 1000000)*0.2,0),IF(AND(MROUND(G94,10)&gt; 1250000, MROUND(G94,10)&lt;= 1500000),  ROUND(125000+ ABS(MROUND(G94,10)- 1250000)*0.25,0), IF(MROUND(G94,10)&gt; 1500000,  ROUND(187500+ABS(MROUND(G94,10)- 1500000)*0.3,0), 0))))))),IF(AND(B94="2023-2024",'Basic Information'!$AG$21="No"), IF(MROUND(G94,10)&lt;= 300000, 0, IF(AND(MROUND(G94,10)&gt; 300000, MROUND(G94,10)&lt;= 600000), ROUND(ABS(MROUND(G94,10)- 300000)*0.05,0), IF(AND(MROUND(G94,10)&gt; 600000, MROUND(G94,10)&lt;= 900000),  ROUND(15000+ ABS(MROUND(G94,10)- 600000)*0.1,0), IF(AND(MROUND(G94,10)&gt; 900000, MROUND(G94,10)&lt;= 1200000),  ROUND(45000+ ABS(MROUND(G94,10)- 900000)*0.15,0),IF(AND(MROUND(G94,10)&gt; 1200000, MROUND(G94,10)&lt;= 1500000),  ROUND(90000+ ABS(MROUND(G94,10)- 1200000)*0.2,0), IF(MROUND(G94,10)&gt; 1500000,  ROUND(150000+ABS(MROUND(G94,10)- 1500000)*0.3,0), 0)))))),IF(AND(B94="2024-2025",'Basic Information'!$AG$24="No"), IF(MROUND(G94,10)&lt;= 300000, 0, IF(AND(MROUND(G94,10)&gt; 300000, MROUND(G94,10)&lt;= 700000), ROUND(ABS(MROUND(G94,10)- 300000)*0.05,0), IF(AND(MROUND(G94,10)&gt; 700000, MROUND(G94,10)&lt;= 1000000),  ROUND(20000+ ABS(MROUND(G94,10)- 700000)*0.1,0), IF(AND(MROUND(G94,10)&gt; 1000000, MROUND(G94,10)&lt;= 1200000),  ROUND(50000+ ABS(MROUND(G94,10)- 1000000)*0.15,0),IF(AND(MROUND(G94,10)&gt; 1200000, MROUND(G94,10)&lt;= 1500000),  ROUND(80000+ ABS(MROUND(G94,10)- 1200000)*0.2,0), IF(MROUND(G94,10)&gt; 1500000,  ROUND(140000+ABS(MROUND(G94,10)- 1500000)*0.3,0), 0)))))),0)))))))))))))))))</f>
        <v>0</v>
      </c>
      <c r="AU94" s="6">
        <f>IF(OR(B94="2013-2014",B94="2014-2015",B94="2015-2016"),IF(AND(MROUND(G94,10)&lt;=500000,MROUND(G94,10)&lt;&gt;0),IF(AT94&lt;=2000, AT94,2000),0), IF(B94="2016-2017",IF(AND(MROUND(G94,10)&lt;=500000,MROUND(G94,10)&lt;&gt;0),IF(AT94&lt;=5000, AT94,5000),0), IF(OR(B94="2017-2018",B94="2018-2019"),IF(AND(MROUND(G94,10)&lt;=350000,MROUND(G94,10)&lt;&gt;0),IF(AT94&lt;=2500, AT94,2500),0), IF(OR(B94="2019-2020",B94="2020-2021",B94="2021-2022",B94="2022-2023",AND(B94="2023-2024",'Basic Information'!$AG$21="Yes"),AND(B94="2024-2025",'Basic Information'!$AG$24="Yes")),IF(AND(MROUND(G94,10)&lt;=500000,MROUND(G94,10)&lt;&gt;0),IF(AT94&lt;=12500, AT94,12500),0), IF(OR(AND(B94="2023-2024",'Basic Information'!$AG$21="No")),IF(AND(MROUND(G94,10)&lt;=700000,MROUND(G94,10)&lt;&gt;0),IF(AT94&lt;=25000, AT94,25000),IF(AND(MROUND(G94,10)&lt;&gt;0,(MROUND(G94,10)-700000)&lt;=AT94),AT94-(MROUND(G94,10)-700000),0)), IF(OR(AND(B94="2024-2025",'Basic Information'!$AG$24="No")),IF(AND(MROUND(G94,10)&lt;=700000,MROUND(G94,10)&lt;&gt;0),IF(AT94&lt;=20000, AT94,20000),IF(AND(MROUND(G94,10)&lt;&gt;0,(MROUND(G94,10)-700000)&lt;=AT94),AT94-(MROUND(G94,10)-700000),0)),0))))))</f>
        <v>0</v>
      </c>
      <c r="AV94" s="6">
        <f t="shared" si="5"/>
        <v>0</v>
      </c>
      <c r="AW94" s="6">
        <f t="shared" si="6"/>
        <v>0</v>
      </c>
      <c r="AX94" s="6">
        <f>IF( AND(OR(B94="2005-2006",B94="2006-2007"),$U$22&lt;&gt;"Female"),IF( MROUND(S94,10)&lt;= 100000, 0, IF(AND(MROUND(S94,10)&gt; 100000,MROUND(S94,10)&lt;= 150000),  ROUND(ABS(MROUND(S94,10)- 100000)*0.1,0), IF(AND(MROUND(S94,10)&gt; 150000, MROUND(S94,10)&lt;= 250000), ROUND(5000+ ABS(MROUND(S94,10)- 150000)*0.2,0),IF(MROUND(S94,10)&gt; 250000,  ROUND(25000+ABS(MROUND(S94,10)- 250000)*0.3,0),  0)))),IF(AND(OR(B94="2005-2006",B94="2006-2007"),$U$22="Female"),IF(MROUND(S94,10)&lt;= 135000, 0, IF(AND(MROUND(S94,10)&gt; 135000, MROUND(S94,10)&lt;= 150000), ROUND(ABS(MROUND(S94,10)- 135000)*0.1,0), IF(AND(MROUND(S94,10)&gt; 150000, MROUND(S94,10)&lt;= 250000), ROUND(1500+ ABS(MROUND(S94,10)- 150000)*0.2,0),  IF(MROUND(S94,10)&gt; 250000, ROUND(21500+ABS(MROUND(S94,10)- 250000)*0.3,0),0)))),IF(AND(B94="2007-2008",$U$22&lt;&gt;"Female"), IF(MROUND(S94,10)&lt;= 110000,  0,  IF(AND(MROUND(S94,10)&gt; 110000, MROUND(S94,10)&lt;= 150000),     ROUND(ABS(MROUND(S94,10)- 110000)*0.1,0),  IF(AND(MROUND(S94,10)&gt; 150000, MROUND(S94,10)&lt;= 250000),  ROUND(4000+ ABS(MROUND(S94,10)- 150000)*0.2,0),   IF(MROUND(S94,10)&gt; 250000,   ROUND(24000+ABS(MROUND(S94,10)- 250000)*0.3,0),0)))),IF(AND(B94="2007-2008",$U$22="Female"), IF(MROUND(S94,10)&lt;= 145000, 0, IF(AND(MROUND(S94,10)&gt; 145000, MROUND(S94,10)&lt;= 150000),     ROUND(ABS(MROUND(S94,10)- 145000)*0.1,0),  IF(AND(MROUND(S94,10)&gt; 150000, MROUND(S94,10)&lt;= 250000),  ROUND(500+ ABS(MROUND(S94,10)- 150000)*0.2,0),  IF(MROUND(S94,10)&gt; 250000, ROUND(20500+ABS(MROUND(S94,10)- 250000)*0.3,0),0)))), IF(AND(B94="2008-2009",$U$22&lt;&gt;"Female"), IF(MROUND(S94,10)&lt;= 150000, 0, IF(AND(MROUND(S94,10)&gt; 150000, MROUND(S94,10)&lt;= 300000), ROUND(ABS(MROUND(S94,10)- 150000)*0.1,0), IF(AND(MROUND(S94,10)&gt; 300000, MROUND(S94,10)&lt;= 500000),  ROUND(15000+ ABS(MROUND(S94,10)- 300000)*0.2,0),  IF(MROUND(S94,10)&gt; 500000,  ROUND(55000+ABS(MROUND(S94,10)- 500000)*0.3,0),0)))), IF(AND(B94="2008-2009",$U$22="Female"), IF(MROUND(S94,10)&lt;= 180000, 0, IF(AND(MROUND(S94,10)&gt; 180000, MROUND(S94,10)&lt;= 300000), ROUND(ABS(MROUND(S94,10)- 180000)*0.1,0), IF(AND(MROUND(S94,10)&gt; 300000, MROUND(S94,10)&lt;= 500000), ROUND(12000+ ABS(MROUND(S94,10)- 300000)*0.2,0),  IF(MROUND(S94,10)&gt; 500000,  ROUND(52000+ABS(MROUND(S94,10)- 500000)*0.3,0),0)))), IF(AND(B94="2009-2010", $U$22&lt;&gt;"Female"), IF(MROUND(S94,10)&lt;= 160000, 0, IF(AND(MROUND(S94,10)&gt; 160000, MROUND(S94,10)&lt;= 300000),ROUND(ABS(MROUND(S94,10)- 160000)*0.1,0), IF(AND(MROUND(S94,10)&gt; 300000, MROUND(S94,10)&lt;= 500000),ROUND(14000+ ABS(MROUND(S94,10)- 300000)*0.2,0),  IF(MROUND(S94,10)&gt; 500000, ROUND(54000+ABS(MROUND(S94,10)- 500000)*0.3,0),0)))),IF(AND(B94="2009-2010",$U$22="Female"), IF(MROUND(S94,10)&lt;= 190000, 0, IF(AND(MROUND(S94,10)&gt; 190000, MROUND(S94,10)&lt;= 300000),ROUND(ABS(MROUND(S94,10)- 190000)*0.1,0), IF(AND(MROUND(S94,10)&gt; 300000, MROUND(S94,10)&lt;= 500000), ROUND(11000+ ABS(MROUND(S94,10)- 300000)*0.2,0),IF(MROUND(S94,10)&gt; 500000,  ROUND(51000+ABS(MROUND(S94,10)- 500000)*0.3,0),0)))), IF(AND(B94="2010-2011",$U$22&lt;&gt;"Female"), IF(MROUND(S94,10)&lt;= 160000, 0, IF(AND(MROUND(S94,10)&gt; 160000, MROUND(S94,10)&lt;= 500000), ROUND(ABS(MROUND(S94,10)- 160000)*0.1,0), IF(AND(MROUND(S94,10)&gt; 500000, MROUND(S94,10)&lt;= 800000), ROUND(34000+ ABS(MROUND(S94,10)- 500000)*0.2,0),  IF(MROUND(S94,10)&gt; 800000,  ROUND(94000+ABS(MROUND(S94,10)- 800000)*0.3,0),0)))), IF(AND(OR(B94="2010-2011",B94="2011-2012"),$U$22="Female"), IF(MROUND(S94,10)&lt;= 190000, 0, IF(AND(MROUND(S94,10)&gt; 190000, MROUND(S94,10)&lt;= 500000), ROUND(ABS(MROUND(S94,10)- 190000)*0.1,0), IF(AND(MROUND(S94,10)&gt; 500000, MROUND(S94,10)&lt;= 800000),  ROUND(31000+ ABS(MROUND(S94,10)- 500000)*0.2,0),  IF(MROUND(S94,10)&gt; 800000,  ROUND(91000+ABS(MROUND(S94,10)- 800000)*0.3,0),0)))), IF(AND(B94="2011-2012", $U$22&lt;&gt;"Female"), IF(MROUND(S94,10)&lt;= 180000, 0, IF(AND(MROUND(S94,10)&gt; 180000, MROUND(S94,10)&lt;= 500000), ROUND(ABS(MROUND(S94,10)- 180000)*0.1,0), IF(AND(MROUND(S94,10)&gt; 500000, MROUND(S94,10)&lt;= 800000),  ROUND(32000+ ABS(MROUND(S94,10)- 500000)*0.2,0),  IF(MROUND(S94,10)&gt; 800000,  ROUND(92000+ABS(MROUND(S94,10)- 800000)*0.3,0),0)))), IF(OR(B94="2012-2013",B94="2013-2014"), IF(MROUND(S94,10)&lt;= 200000, 0, IF(AND(MROUND(S94,10)&gt; 200000, MROUND(S94,10)&lt;= 500000), ROUND(ABS(MROUND(S94,10)- 200000)*0.1,0), IF(AND(MROUND(S94,10)&gt; 500000, MROUND(S94,10)&lt;= 1000000),  ROUND(30000+ ABS(MROUND(S94,10)- 500000)*0.2,0),  IF(MROUND(S94,10)&gt; 1000000,  ROUND(130000+ABS(MROUND(S94,10)- 1000000)*0.3,0),0)))), IF(OR(B94="2014-2015", B94="2015-2016",B94="2016-2017"), IF(MROUND(S94,10)&lt;= 250000, 0, IF(AND(MROUND(S94,10)&gt; 250000, MROUND(S94,10)&lt;= 500000), ROUND(ABS(MROUND(S94,10)- 250000)*0.1,0), IF(AND(MROUND(S94,10)&gt; 500000, MROUND(S94,10)&lt;= 1000000),  ROUND(25000+ ABS(MROUND(S94,10)- 500000)*0.2,0),  IF(MROUND(S94,10)&gt; 1000000,  ROUND(125000+ABS(MROUND(S94,10)- 1000000)*0.3,0), 0)))),IF(OR(B94="2017-2018",B94="2018-2019",B94="2019-2020",AND(B94="2020-2021",'Basic Information'!$AG$12="No"),AND(B94="2021-2022",'Basic Information'!$AG$15="No"),AND(B94="2022-2023",'Basic Information'!$AG$18="No"),AND(B94="2023-2024",'Basic Information'!$AG$21="Yes"),AND(B94="2024-2025",'Basic Information'!$AG$24="Yes")), IF(MROUND(S94,10)&lt;= 250000, 0, IF(AND(MROUND(S94,10)&gt; 250000, MROUND(S94,10)&lt;= 500000), ROUND(ABS(MROUND(S94,10)- 250000)*0.05,0), IF(AND(MROUND(S94,10)&gt; 500000, MROUND(S94,10)&lt;= 1000000),  ROUND(12500+ ABS(MROUND(S94,10)- 500000)*0.2,0),  IF(MROUND(S94,10)&gt; 1000000,  ROUND(112500+ABS(MROUND(S94,10)- 1000000)*0.3,0), 0)))),IF(OR(AND(B94="2020-2021",'Basic Information'!$AG$12="Yes"),AND(B94="2021-2022",'Basic Information'!$AG$15="Yes"),AND(B94="2022-2023",'Basic Information'!$AG$18="Yes")), IF(MROUND(S94,10)&lt;= 250000, 0, IF(AND(MROUND(S94,10)&gt; 250000, MROUND(S94,10)&lt;= 500000), ROUND(ABS(MROUND(S94,10)- 250000)*0.05,0), IF(AND(MROUND(S94,10)&gt; 500000, MROUND(S94,10)&lt;= 750000),  ROUND(12500+ ABS(MROUND(S94,10)- 500000)*0.1,0), IF(AND(MROUND(S94,10)&gt; 750000, MROUND(S94,10)&lt;= 1000000),  ROUND(37500+ ABS(MROUND(S94,10)- 750000)*0.15,0),IF(AND(MROUND(S94,10)&gt; 1000000, MROUND(S94,10)&lt;= 1250000),  ROUND(75000+ ABS(MROUND(S94,10)- 1000000)*0.2,0),IF(AND(MROUND(S94,10)&gt; 1250000, MROUND(S94,10)&lt;= 1500000),  ROUND(125000+ ABS(MROUND(S94,10)- 1250000)*0.25,0), IF(MROUND(S94,10)&gt; 1500000,  ROUND(187500+ABS(MROUND(S94,10)- 1500000)*0.3,0), 0))))))),IF(AND(B94="2023-2024",'Basic Information'!$AG$21="No"), IF(MROUND(S94,10)&lt;= 300000, 0, IF(AND(MROUND(S94,10)&gt; 300000, MROUND(S94,10)&lt;= 600000), ROUND(ABS(MROUND(S94,10)- 300000)*0.05,0), IF(AND(MROUND(S94,10)&gt; 600000, MROUND(S94,10)&lt;= 900000),  ROUND(15000+ ABS(MROUND(S94,10)- 600000)*0.1,0), IF(AND(MROUND(S94,10)&gt; 900000, MROUND(S94,10)&lt;= 1200000),  ROUND(45000+ ABS(MROUND(S94,10)- 900000)*0.15,0),IF(AND(MROUND(S94,10)&gt; 1200000, MROUND(S94,10)&lt;= 1500000),  ROUND(90000+ ABS(MROUND(S94,10)- 1200000)*0.2,0), IF(MROUND(S94,10)&gt; 1500000,  ROUND(150000+ABS(MROUND(S94,10)- 1500000)*0.3,0), 0)))))),IF(AND(B94="2024-2025",'Basic Information'!$AG$24="No"), IF(MROUND(S94,10)&lt;= 300000, 0, IF(AND(MROUND(S94,10)&gt; 300000, MROUND(S94,10)&lt;= 700000), ROUND(ABS(MROUND(S94,10)- 300000)*0.05,0), IF(AND(MROUND(S94,10)&gt; 700000, MROUND(S94,10)&lt;= 1000000),  ROUND(20000+ ABS(MROUND(S94,10)- 700000)*0.1,0), IF(AND(MROUND(S94,10)&gt; 1000000, MROUND(S94,10)&lt;= 1200000),  ROUND(50000+ ABS(MROUND(S94,10)- 1000000)*0.15,0),IF(AND(MROUND(S94,10)&gt; 1200000, MROUND(S94,10)&lt;= 1500000),  ROUND(80000+ ABS(MROUND(S94,10)- 1200000)*0.2,0), IF(MROUND(S94,10)&gt; 1500000,  ROUND(140000+ABS(MROUND(S94,10)- 1500000)*0.3,0), 0)))))),0)))))))))))))))))</f>
        <v>0</v>
      </c>
      <c r="AY94" s="6">
        <f>IF(OR(B94="2013-2014",B94="2014-2015",B94="2015-2016"),IF(AND(MROUND(S94,10)&lt;=500000,MROUND(S94,10)&lt;&gt;0),IF(AX94&lt;=2000, AX94,2000),0), IF(B94="2016-2017",IF(AND(MROUND(S94,10)&lt;=500000, MROUND(S94,10)&lt;&gt;0),IF(AX94&lt;=5000, AX94,5000),0), IF(OR(B94="2017-2018",B94="2018-2019"),IF(AND(MROUND(S94,10)&lt;=350000,MROUND(S94,10)&lt;&gt;0),IF(AX94&lt;=2500, AX94,2500),0), IF(OR(B94="2019-2020",B94="2020-2021",B94="2021-2022",B94="2022-2023",AND(B94="2023-2024",'Basic Information'!$AG$21="Yes"),AND(B94="2024-2025",'Basic Information'!$AG$24="Yes")),IF(AND(MROUND(S94,10)&lt;=500000,MROUND(S94,10)&lt;&gt;0),IF(AX94&lt;=12500, AX94,12500),0), IF(OR(AND(B94="2023-2024",'Basic Information'!$AG$21="No")),IF(AND(MROUND(S94,10)&lt;=700000,MROUND(S94,10)&lt;&gt;0),IF(AX94&lt;=25000, AX94,25000),IF(AND(MROUND(S94,10)&lt;&gt;0,(MROUND(S94,10)-700000)&lt;= AX94), AX94-(MROUND(S94,10)-700000),0)), IF(OR(AND(B94="2024-2025",'Basic Information'!$AG$24="No")),IF(AND(MROUND(S94,10)&lt;=700000,MROUND(S94,10)&lt;&gt;0),IF(AX94&lt;=20000, AX94,20000),IF(AND(MROUND(S94,10)&lt;&gt;0,(MROUND(S94,10)-700000)&lt;= AX94), AX94-(MROUND(S94,10)-700000),0)),0))))))</f>
        <v>0</v>
      </c>
      <c r="AZ94" s="6">
        <f t="shared" si="7"/>
        <v>0</v>
      </c>
      <c r="BA94" s="6">
        <f t="shared" si="8"/>
        <v>0</v>
      </c>
    </row>
    <row r="95" spans="2:53" x14ac:dyDescent="0.3">
      <c r="B95" s="545" t="str">
        <f>IF(ISBLANK('Form 10E - Old Scheme'!B95),"",'Form 10E - Old Scheme'!B95)</f>
        <v/>
      </c>
      <c r="C95" s="546"/>
      <c r="D95" s="546"/>
      <c r="E95" s="546"/>
      <c r="F95" s="547"/>
      <c r="G95" s="458">
        <f>IF(ISNUMBER('Form 10E - Old Scheme'!G95),'Form 10E - Old Scheme'!G95,0)</f>
        <v>0</v>
      </c>
      <c r="H95" s="459"/>
      <c r="I95" s="459"/>
      <c r="J95" s="459"/>
      <c r="K95" s="459"/>
      <c r="L95" s="460"/>
      <c r="M95" s="458">
        <f>IF(ISNUMBER('Form 10E - Old Scheme'!M95),'Form 10E - Old Scheme'!M95,0)</f>
        <v>0</v>
      </c>
      <c r="N95" s="459"/>
      <c r="O95" s="459"/>
      <c r="P95" s="459"/>
      <c r="Q95" s="459"/>
      <c r="R95" s="460"/>
      <c r="S95" s="458">
        <f t="shared" si="2"/>
        <v>0</v>
      </c>
      <c r="T95" s="459"/>
      <c r="U95" s="459"/>
      <c r="V95" s="459"/>
      <c r="W95" s="459"/>
      <c r="X95" s="460"/>
      <c r="Y95" s="458">
        <f t="shared" si="3"/>
        <v>0</v>
      </c>
      <c r="Z95" s="459"/>
      <c r="AA95" s="459"/>
      <c r="AB95" s="459"/>
      <c r="AC95" s="459"/>
      <c r="AD95" s="460"/>
      <c r="AE95" s="458">
        <f t="shared" si="4"/>
        <v>0</v>
      </c>
      <c r="AF95" s="459"/>
      <c r="AG95" s="459"/>
      <c r="AH95" s="459"/>
      <c r="AI95" s="459"/>
      <c r="AJ95" s="461"/>
      <c r="AK95" s="462">
        <f t="shared" si="0"/>
        <v>0</v>
      </c>
      <c r="AL95" s="463"/>
      <c r="AM95" s="463"/>
      <c r="AN95" s="463"/>
      <c r="AO95" s="463"/>
      <c r="AP95" s="464"/>
      <c r="AQ95" s="36" t="str">
        <f t="shared" ref="AQ95:AQ101" si="9">IF(AND(OR(NOT(ISBLANK(G95)),NOT(ISBLANK(M95))),OR(ISBLANK(B95),B95="Select")),"Please select a Financial Year","")</f>
        <v/>
      </c>
      <c r="AT95" s="6">
        <f>IF( AND(OR(B95="2005-2006",B95="2006-2007"),$U$22&lt;&gt;"Female"),IF( MROUND(G95,10)&lt;= 100000, 0, IF(AND(MROUND(G95,10)&gt; 100000,MROUND(G95,10)&lt;= 150000),  ROUND(ABS(MROUND(G95,10)- 100000)*0.1,0), IF(AND(MROUND(G95,10)&gt; 150000, MROUND(G95,10)&lt;= 250000), ROUND(5000+ ABS(MROUND(G95,10)- 150000)*0.2,0),IF(MROUND(G95,10)&gt; 250000,  ROUND(25000+ABS(MROUND(G95,10)- 250000)*0.3,0),  0)))),IF(AND(OR(B95="2005-2006",B95="2006-2007"),$U$22="Female"),IF(MROUND(G95,10)&lt;= 135000, 0, IF(AND(MROUND(G95,10)&gt; 135000, MROUND(G95,10)&lt;= 150000), ROUND(ABS(MROUND(G95,10)- 135000)*0.1,0), IF(AND(MROUND(G95,10)&gt; 150000, MROUND(G95,10)&lt;= 250000), ROUND(1500+ ABS(MROUND(G95,10)- 150000)*0.2,0),  IF(MROUND(G95,10)&gt; 250000, ROUND(21500+ABS(MROUND(G95,10)- 250000)*0.3,0),0)))),IF(AND(B95="2007-2008",$U$22&lt;&gt;"Female"), IF(MROUND(G95,10)&lt;= 110000,  0,  IF(AND(MROUND(G95,10)&gt; 110000, MROUND(G95,10)&lt;= 150000), ROUND(ABS(MROUND(G95,10)- 110000)*0.1,0),  IF(AND(MROUND(G95,10)&gt; 150000, MROUND(G95,10)&lt;= 250000),  ROUND(4000+ ABS(MROUND(G95,10)- 150000)*0.2,0),   IF(MROUND(G95,10)&gt; 250000,   ROUND(24000+ABS(MROUND(G95,10)- 250000)*0.3,0),0)))),IF(AND(B95="2007-2008",$U$22="Female"), IF(MROUND(G95,10)&lt;= 145000, 0, IF(AND(MROUND(G95,10)&gt; 145000, MROUND(G95,10)&lt;= 150000),     ROUND(ABS(MROUND(G95,10)- 145000)*0.1,0),  IF(AND(MROUND(G95,10)&gt; 150000, MROUND(G95,10)&lt;= 250000),  ROUND(500+ ABS(MROUND(G95,10)- 150000)*0.2,0),  IF(MROUND(G95,10)&gt; 250000, ROUND(20500+ABS(MROUND(G95,10)- 250000)*0.3,0),0)))), IF(AND(B95="2008-2009",$U$22&lt;&gt;"Female"), IF(MROUND(G95,10)&lt;= 150000, 0, IF(AND(MROUND(G95,10)&gt; 150000, MROUND(G95,10)&lt;= 300000), ROUND(ABS(MROUND(G95,10)- 150000)*0.1,0), IF(AND(MROUND(G95,10)&gt; 300000, MROUND(G95,10)&lt;= 500000),  ROUND(15000+ ABS(MROUND(G95,10)- 300000)*0.2,0),  IF(MROUND(G95,10)&gt; 500000,  ROUND(55000+ABS(MROUND(G95,10)- 500000)*0.3,0),0)))), IF(AND(B95="2008-2009",$U$22="Female"), IF(MROUND(G95,10)&lt;= 180000, 0, IF(AND(MROUND(G95,10)&gt; 180000, MROUND(G95,10)&lt;= 300000), ROUND(ABS(MROUND(G95,10)- 180000)*0.1,0), IF(AND(MROUND(G95,10)&gt; 300000, MROUND(G95,10)&lt;= 500000), ROUND(12000+ ABS(MROUND(G95,10)- 300000)*0.2,0),  IF(MROUND(G95,10)&gt; 500000,  ROUND(52000+ABS(MROUND(G95,10)- 500000)*0.3,0),0)))), IF(AND(B95="2009-2010", $U$22&lt;&gt;"Female"), IF(MROUND(G95,10)&lt;= 160000, 0, IF(AND(MROUND(G95,10)&gt; 160000, MROUND(G95,10)&lt;= 300000),ROUND(ABS(MROUND(G95,10)- 160000)*0.1,0), IF(AND(MROUND(G95,10)&gt; 300000, MROUND(G95,10)&lt;= 500000),ROUND(14000+ ABS(MROUND(G95,10)- 300000)*0.2,0),  IF(MROUND(G95,10)&gt; 500000, ROUND(54000+ABS(MROUND(G95,10)- 500000)*0.3,0),0)))),IF(AND(B95="2009-2010",$U$22="Female"), IF(MROUND(G95,10)&lt;= 190000, 0, IF(AND(MROUND(G95,10)&gt; 190000, MROUND(G95,10)&lt;= 300000),ROUND(ABS(MROUND(G95,10)- 190000)*0.1,0), IF(AND(MROUND(G95,10)&gt; 300000, MROUND(G95,10)&lt;= 500000), ROUND(11000+ ABS(MROUND(G95,10)- 300000)*0.2,0),IF(MROUND(G95,10)&gt; 500000,  ROUND(51000+ABS(MROUND(G95,10)- 500000)*0.3,0),0)))), IF(AND(B95="2010-2011",$U$22&lt;&gt;"Female"), IF(MROUND(G95,10)&lt;= 160000, 0, IF(AND(MROUND(G95,10)&gt; 160000, MROUND(G95,10)&lt;= 500000), ROUND(ABS(MROUND(G95,10)- 160000)*0.1,0), IF(AND(MROUND(G95,10)&gt; 500000, MROUND(G95,10)&lt;= 800000), ROUND(34000+ ABS(MROUND(G95,10)- 500000)*0.2,0),  IF(MROUND(G95,10)&gt; 800000,  ROUND(94000+ABS(MROUND(G95,10)- 800000)*0.3,0),0)))), IF(AND(OR(B95="2010-2011",B95="2011-2012"),$U$22="Female"), IF(MROUND(G95,10)&lt;= 190000, 0, IF(AND(MROUND(G95,10)&gt; 190000, MROUND(G95,10)&lt;= 500000), ROUND(ABS(MROUND(G95,10)- 190000)*0.1,0), IF(AND(MROUND(G95,10)&gt; 500000, MROUND(G95,10)&lt;= 800000),  ROUND(31000+ ABS(MROUND(G95,10)- 500000)*0.2,0),  IF(MROUND(G95,10)&gt; 800000,  ROUND(91000+ABS(MROUND(G95,10)- 800000)*0.3,0),0)))), IF(AND(B95="2011-2012", $U$22&lt;&gt;"Female"), IF(MROUND(G95,10)&lt;= 180000, 0, IF(AND(MROUND(G95,10)&gt; 180000, MROUND(G95,10)&lt;= 500000), ROUND(ABS(MROUND(G95,10)- 180000)*0.1,0), IF(AND(MROUND(G95,10)&gt; 500000, MROUND(G95,10)&lt;= 800000),  ROUND(32000+ ABS(MROUND(G95,10)- 500000)*0.2,0),  IF(MROUND(G95,10)&gt; 800000,  ROUND(92000+ABS(MROUND(G95,10)- 800000)*0.3,0),0)))), IF(OR(B95="2012-2013",B95="2013-2014"), IF(MROUND(G95,10)&lt;= 200000, 0, IF(AND(MROUND(G95,10)&gt; 200000, MROUND(G95,10)&lt;= 500000), ROUND(ABS(MROUND(G95,10)- 200000)*0.1,0), IF(AND(MROUND(G95,10)&gt; 500000, MROUND(G95,10)&lt;= 1000000),  ROUND(30000+ ABS(MROUND(G95,10)- 500000)*0.2,0),  IF(MROUND(G95,10)&gt; 1000000,  ROUND(130000+ABS(MROUND(G95,10)- 1000000)*0.3,0),0)))), IF(OR(B95="2014-2015", B95="2015-2016",B95="2016-2017"), IF(MROUND(G95,10)&lt;= 250000, 0, IF(AND(MROUND(G95,10)&gt; 250000, MROUND(G95,10)&lt;= 500000), ROUND(ABS(MROUND(G95,10)- 250000)*0.1,0), IF(AND(MROUND(G95,10)&gt; 500000, MROUND(G95,10)&lt;= 1000000),  ROUND(25000+ ABS(MROUND(G95,10)- 500000)*0.2,0),  IF(MROUND(G95,10)&gt; 1000000,  ROUND(125000+ABS(MROUND(G95,10)- 1000000)*0.3,0), 0)))), IF(OR(B95="2017-2018",B95="2018-2019",B95="2019-2020",AND(B95="2020-2021",'Basic Information'!$AG$12="No"),AND(B95="2021-2022",'Basic Information'!$AG$15="No"),AND(B95="2022-2023",'Basic Information'!$AG$18="No"),AND(B95="2023-2024",'Basic Information'!$AG$21="Yes"),AND(B95="2024-2025",'Basic Information'!$AG$24="Yes")), IF(MROUND(G95,10)&lt;= 250000, 0, IF(AND(MROUND(G95,10)&gt; 250000, MROUND(G95,10)&lt;= 500000), ROUND(ABS(MROUND(G95,10)- 250000)*0.05,0), IF(AND(MROUND(G95,10)&gt; 500000, MROUND(G95,10)&lt;= 1000000),  ROUND(12500+ ABS(MROUND(G95,10)- 500000)*0.2,0),  IF(MROUND(G95,10)&gt; 1000000,  ROUND(112500+ABS(MROUND(G95,10)- 1000000)*0.3,0), 0)))),IF(OR(AND(B95="2020-2021",'Basic Information'!$AG$12="Yes"),AND(B95="2021-2022",'Basic Information'!$AG$15="Yes"),AND(B95="2022-2023",'Basic Information'!$AG$18="Yes")), IF(MROUND(G95,10)&lt;= 250000, 0, IF(AND(MROUND(G95,10)&gt; 250000, MROUND(G95,10)&lt;= 500000), ROUND(ABS(MROUND(G95,10)- 250000)*0.05,0), IF(AND(MROUND(G95,10)&gt; 500000, MROUND(G95,10)&lt;= 750000),  ROUND(12500+ ABS(MROUND(G95,10)- 500000)*0.1,0), IF(AND(MROUND(G95,10)&gt; 750000, MROUND(G95,10)&lt;= 1000000),  ROUND(37500+ ABS(MROUND(G95,10)- 750000)*0.15,0),IF(AND(MROUND(G95,10)&gt; 1000000, MROUND(G95,10)&lt;= 1250000),  ROUND(75000+ ABS(MROUND(G95,10)- 1000000)*0.2,0),IF(AND(MROUND(G95,10)&gt; 1250000, MROUND(G95,10)&lt;= 1500000),  ROUND(125000+ ABS(MROUND(G95,10)- 1250000)*0.25,0), IF(MROUND(G95,10)&gt; 1500000,  ROUND(187500+ABS(MROUND(G95,10)- 1500000)*0.3,0), 0))))))),IF(AND(B95="2023-2024",'Basic Information'!$AG$21="No"), IF(MROUND(G95,10)&lt;= 300000, 0, IF(AND(MROUND(G95,10)&gt; 300000, MROUND(G95,10)&lt;= 600000), ROUND(ABS(MROUND(G95,10)- 300000)*0.05,0), IF(AND(MROUND(G95,10)&gt; 600000, MROUND(G95,10)&lt;= 900000),  ROUND(15000+ ABS(MROUND(G95,10)- 600000)*0.1,0), IF(AND(MROUND(G95,10)&gt; 900000, MROUND(G95,10)&lt;= 1200000),  ROUND(45000+ ABS(MROUND(G95,10)- 900000)*0.15,0),IF(AND(MROUND(G95,10)&gt; 1200000, MROUND(G95,10)&lt;= 1500000),  ROUND(90000+ ABS(MROUND(G95,10)- 1200000)*0.2,0), IF(MROUND(G95,10)&gt; 1500000,  ROUND(150000+ABS(MROUND(G95,10)- 1500000)*0.3,0), 0)))))),IF(AND(B95="2024-2025",'Basic Information'!$AG$24="No"), IF(MROUND(G95,10)&lt;= 300000, 0, IF(AND(MROUND(G95,10)&gt; 300000, MROUND(G95,10)&lt;= 700000), ROUND(ABS(MROUND(G95,10)- 300000)*0.05,0), IF(AND(MROUND(G95,10)&gt; 700000, MROUND(G95,10)&lt;= 1000000),  ROUND(20000+ ABS(MROUND(G95,10)- 700000)*0.1,0), IF(AND(MROUND(G95,10)&gt; 1000000, MROUND(G95,10)&lt;= 1200000),  ROUND(50000+ ABS(MROUND(G95,10)- 1000000)*0.15,0),IF(AND(MROUND(G95,10)&gt; 1200000, MROUND(G95,10)&lt;= 1500000),  ROUND(80000+ ABS(MROUND(G95,10)- 1200000)*0.2,0), IF(MROUND(G95,10)&gt; 1500000,  ROUND(140000+ABS(MROUND(G95,10)- 1500000)*0.3,0), 0)))))),0)))))))))))))))))</f>
        <v>0</v>
      </c>
      <c r="AU95" s="6">
        <f>IF(OR(B95="2013-2014",B95="2014-2015",B95="2015-2016"),IF(AND(MROUND(G95,10)&lt;=500000,MROUND(G95,10)&lt;&gt;0),IF(AT95&lt;=2000, AT95,2000),0), IF(B95="2016-2017",IF(AND(MROUND(G95,10)&lt;=500000,MROUND(G95,10)&lt;&gt;0),IF(AT95&lt;=5000, AT95,5000),0), IF(OR(B95="2017-2018",B95="2018-2019"),IF(AND(MROUND(G95,10)&lt;=350000,MROUND(G95,10)&lt;&gt;0),IF(AT95&lt;=2500, AT95,2500),0), IF(OR(B95="2019-2020",B95="2020-2021",B95="2021-2022",B95="2022-2023",AND(B95="2023-2024",'Basic Information'!$AG$21="Yes"),AND(B95="2024-2025",'Basic Information'!$AG$24="Yes")),IF(AND(MROUND(G95,10)&lt;=500000,MROUND(G95,10)&lt;&gt;0),IF(AT95&lt;=12500, AT95,12500),0), IF(OR(AND(B95="2023-2024",'Basic Information'!$AG$21="No")),IF(AND(MROUND(G95,10)&lt;=700000,MROUND(G95,10)&lt;&gt;0),IF(AT95&lt;=25000, AT95,25000),IF(AND(MROUND(G95,10)&lt;&gt;0,(MROUND(G95,10)-700000)&lt;=AT95),AT95-(MROUND(G95,10)-700000),0)), IF(OR(AND(B95="2024-2025",'Basic Information'!$AG$24="No")),IF(AND(MROUND(G95,10)&lt;=700000,MROUND(G95,10)&lt;&gt;0),IF(AT95&lt;=20000, AT95,20000),IF(AND(MROUND(G95,10)&lt;&gt;0,(MROUND(G95,10)-700000)&lt;=AT95),AT95-(MROUND(G95,10)-700000),0)),0))))))</f>
        <v>0</v>
      </c>
      <c r="AV95" s="6">
        <f t="shared" si="5"/>
        <v>0</v>
      </c>
      <c r="AW95" s="6">
        <f t="shared" si="6"/>
        <v>0</v>
      </c>
      <c r="AX95" s="6">
        <f>IF( AND(OR(B95="2005-2006",B95="2006-2007"),$U$22&lt;&gt;"Female"),IF( MROUND(S95,10)&lt;= 100000, 0, IF(AND(MROUND(S95,10)&gt; 100000,MROUND(S95,10)&lt;= 150000),  ROUND(ABS(MROUND(S95,10)- 100000)*0.1,0), IF(AND(MROUND(S95,10)&gt; 150000, MROUND(S95,10)&lt;= 250000), ROUND(5000+ ABS(MROUND(S95,10)- 150000)*0.2,0),IF(MROUND(S95,10)&gt; 250000,  ROUND(25000+ABS(MROUND(S95,10)- 250000)*0.3,0),  0)))),IF(AND(OR(B95="2005-2006",B95="2006-2007"),$U$22="Female"),IF(MROUND(S95,10)&lt;= 135000, 0, IF(AND(MROUND(S95,10)&gt; 135000, MROUND(S95,10)&lt;= 150000), ROUND(ABS(MROUND(S95,10)- 135000)*0.1,0), IF(AND(MROUND(S95,10)&gt; 150000, MROUND(S95,10)&lt;= 250000), ROUND(1500+ ABS(MROUND(S95,10)- 150000)*0.2,0),  IF(MROUND(S95,10)&gt; 250000, ROUND(21500+ABS(MROUND(S95,10)- 250000)*0.3,0),0)))),IF(AND(B95="2007-2008",$U$22&lt;&gt;"Female"), IF(MROUND(S95,10)&lt;= 110000,  0,  IF(AND(MROUND(S95,10)&gt; 110000, MROUND(S95,10)&lt;= 150000),     ROUND(ABS(MROUND(S95,10)- 110000)*0.1,0),  IF(AND(MROUND(S95,10)&gt; 150000, MROUND(S95,10)&lt;= 250000),  ROUND(4000+ ABS(MROUND(S95,10)- 150000)*0.2,0),   IF(MROUND(S95,10)&gt; 250000,   ROUND(24000+ABS(MROUND(S95,10)- 250000)*0.3,0),0)))),IF(AND(B95="2007-2008",$U$22="Female"), IF(MROUND(S95,10)&lt;= 145000, 0, IF(AND(MROUND(S95,10)&gt; 145000, MROUND(S95,10)&lt;= 150000),     ROUND(ABS(MROUND(S95,10)- 145000)*0.1,0),  IF(AND(MROUND(S95,10)&gt; 150000, MROUND(S95,10)&lt;= 250000),  ROUND(500+ ABS(MROUND(S95,10)- 150000)*0.2,0),  IF(MROUND(S95,10)&gt; 250000, ROUND(20500+ABS(MROUND(S95,10)- 250000)*0.3,0),0)))), IF(AND(B95="2008-2009",$U$22&lt;&gt;"Female"), IF(MROUND(S95,10)&lt;= 150000, 0, IF(AND(MROUND(S95,10)&gt; 150000, MROUND(S95,10)&lt;= 300000), ROUND(ABS(MROUND(S95,10)- 150000)*0.1,0), IF(AND(MROUND(S95,10)&gt; 300000, MROUND(S95,10)&lt;= 500000),  ROUND(15000+ ABS(MROUND(S95,10)- 300000)*0.2,0),  IF(MROUND(S95,10)&gt; 500000,  ROUND(55000+ABS(MROUND(S95,10)- 500000)*0.3,0),0)))), IF(AND(B95="2008-2009",$U$22="Female"), IF(MROUND(S95,10)&lt;= 180000, 0, IF(AND(MROUND(S95,10)&gt; 180000, MROUND(S95,10)&lt;= 300000), ROUND(ABS(MROUND(S95,10)- 180000)*0.1,0), IF(AND(MROUND(S95,10)&gt; 300000, MROUND(S95,10)&lt;= 500000), ROUND(12000+ ABS(MROUND(S95,10)- 300000)*0.2,0),  IF(MROUND(S95,10)&gt; 500000,  ROUND(52000+ABS(MROUND(S95,10)- 500000)*0.3,0),0)))), IF(AND(B95="2009-2010", $U$22&lt;&gt;"Female"), IF(MROUND(S95,10)&lt;= 160000, 0, IF(AND(MROUND(S95,10)&gt; 160000, MROUND(S95,10)&lt;= 300000),ROUND(ABS(MROUND(S95,10)- 160000)*0.1,0), IF(AND(MROUND(S95,10)&gt; 300000, MROUND(S95,10)&lt;= 500000),ROUND(14000+ ABS(MROUND(S95,10)- 300000)*0.2,0),  IF(MROUND(S95,10)&gt; 500000, ROUND(54000+ABS(MROUND(S95,10)- 500000)*0.3,0),0)))),IF(AND(B95="2009-2010",$U$22="Female"), IF(MROUND(S95,10)&lt;= 190000, 0, IF(AND(MROUND(S95,10)&gt; 190000, MROUND(S95,10)&lt;= 300000),ROUND(ABS(MROUND(S95,10)- 190000)*0.1,0), IF(AND(MROUND(S95,10)&gt; 300000, MROUND(S95,10)&lt;= 500000), ROUND(11000+ ABS(MROUND(S95,10)- 300000)*0.2,0),IF(MROUND(S95,10)&gt; 500000,  ROUND(51000+ABS(MROUND(S95,10)- 500000)*0.3,0),0)))), IF(AND(B95="2010-2011",$U$22&lt;&gt;"Female"), IF(MROUND(S95,10)&lt;= 160000, 0, IF(AND(MROUND(S95,10)&gt; 160000, MROUND(S95,10)&lt;= 500000), ROUND(ABS(MROUND(S95,10)- 160000)*0.1,0), IF(AND(MROUND(S95,10)&gt; 500000, MROUND(S95,10)&lt;= 800000), ROUND(34000+ ABS(MROUND(S95,10)- 500000)*0.2,0),  IF(MROUND(S95,10)&gt; 800000,  ROUND(94000+ABS(MROUND(S95,10)- 800000)*0.3,0),0)))), IF(AND(OR(B95="2010-2011",B95="2011-2012"),$U$22="Female"), IF(MROUND(S95,10)&lt;= 190000, 0, IF(AND(MROUND(S95,10)&gt; 190000, MROUND(S95,10)&lt;= 500000), ROUND(ABS(MROUND(S95,10)- 190000)*0.1,0), IF(AND(MROUND(S95,10)&gt; 500000, MROUND(S95,10)&lt;= 800000),  ROUND(31000+ ABS(MROUND(S95,10)- 500000)*0.2,0),  IF(MROUND(S95,10)&gt; 800000,  ROUND(91000+ABS(MROUND(S95,10)- 800000)*0.3,0),0)))), IF(AND(B95="2011-2012", $U$22&lt;&gt;"Female"), IF(MROUND(S95,10)&lt;= 180000, 0, IF(AND(MROUND(S95,10)&gt; 180000, MROUND(S95,10)&lt;= 500000), ROUND(ABS(MROUND(S95,10)- 180000)*0.1,0), IF(AND(MROUND(S95,10)&gt; 500000, MROUND(S95,10)&lt;= 800000),  ROUND(32000+ ABS(MROUND(S95,10)- 500000)*0.2,0),  IF(MROUND(S95,10)&gt; 800000,  ROUND(92000+ABS(MROUND(S95,10)- 800000)*0.3,0),0)))), IF(OR(B95="2012-2013",B95="2013-2014"), IF(MROUND(S95,10)&lt;= 200000, 0, IF(AND(MROUND(S95,10)&gt; 200000, MROUND(S95,10)&lt;= 500000), ROUND(ABS(MROUND(S95,10)- 200000)*0.1,0), IF(AND(MROUND(S95,10)&gt; 500000, MROUND(S95,10)&lt;= 1000000),  ROUND(30000+ ABS(MROUND(S95,10)- 500000)*0.2,0),  IF(MROUND(S95,10)&gt; 1000000,  ROUND(130000+ABS(MROUND(S95,10)- 1000000)*0.3,0),0)))), IF(OR(B95="2014-2015", B95="2015-2016",B95="2016-2017"), IF(MROUND(S95,10)&lt;= 250000, 0, IF(AND(MROUND(S95,10)&gt; 250000, MROUND(S95,10)&lt;= 500000), ROUND(ABS(MROUND(S95,10)- 250000)*0.1,0), IF(AND(MROUND(S95,10)&gt; 500000, MROUND(S95,10)&lt;= 1000000),  ROUND(25000+ ABS(MROUND(S95,10)- 500000)*0.2,0),  IF(MROUND(S95,10)&gt; 1000000,  ROUND(125000+ABS(MROUND(S95,10)- 1000000)*0.3,0), 0)))),IF(OR(B95="2017-2018",B95="2018-2019",B95="2019-2020",AND(B95="2020-2021",'Basic Information'!$AG$12="No"),AND(B95="2021-2022",'Basic Information'!$AG$15="No"),AND(B95="2022-2023",'Basic Information'!$AG$18="No"),AND(B95="2023-2024",'Basic Information'!$AG$21="Yes"),AND(B95="2024-2025",'Basic Information'!$AG$24="Yes")), IF(MROUND(S95,10)&lt;= 250000, 0, IF(AND(MROUND(S95,10)&gt; 250000, MROUND(S95,10)&lt;= 500000), ROUND(ABS(MROUND(S95,10)- 250000)*0.05,0), IF(AND(MROUND(S95,10)&gt; 500000, MROUND(S95,10)&lt;= 1000000),  ROUND(12500+ ABS(MROUND(S95,10)- 500000)*0.2,0),  IF(MROUND(S95,10)&gt; 1000000,  ROUND(112500+ABS(MROUND(S95,10)- 1000000)*0.3,0), 0)))),IF(OR(AND(B95="2020-2021",'Basic Information'!$AG$12="Yes"),AND(B95="2021-2022",'Basic Information'!$AG$15="Yes"),AND(B95="2022-2023",'Basic Information'!$AG$18="Yes")), IF(MROUND(S95,10)&lt;= 250000, 0, IF(AND(MROUND(S95,10)&gt; 250000, MROUND(S95,10)&lt;= 500000), ROUND(ABS(MROUND(S95,10)- 250000)*0.05,0), IF(AND(MROUND(S95,10)&gt; 500000, MROUND(S95,10)&lt;= 750000),  ROUND(12500+ ABS(MROUND(S95,10)- 500000)*0.1,0), IF(AND(MROUND(S95,10)&gt; 750000, MROUND(S95,10)&lt;= 1000000),  ROUND(37500+ ABS(MROUND(S95,10)- 750000)*0.15,0),IF(AND(MROUND(S95,10)&gt; 1000000, MROUND(S95,10)&lt;= 1250000),  ROUND(75000+ ABS(MROUND(S95,10)- 1000000)*0.2,0),IF(AND(MROUND(S95,10)&gt; 1250000, MROUND(S95,10)&lt;= 1500000),  ROUND(125000+ ABS(MROUND(S95,10)- 1250000)*0.25,0), IF(MROUND(S95,10)&gt; 1500000,  ROUND(187500+ABS(MROUND(S95,10)- 1500000)*0.3,0), 0))))))),IF(AND(B95="2023-2024",'Basic Information'!$AG$21="No"), IF(MROUND(S95,10)&lt;= 300000, 0, IF(AND(MROUND(S95,10)&gt; 300000, MROUND(S95,10)&lt;= 600000), ROUND(ABS(MROUND(S95,10)- 300000)*0.05,0), IF(AND(MROUND(S95,10)&gt; 600000, MROUND(S95,10)&lt;= 900000),  ROUND(15000+ ABS(MROUND(S95,10)- 600000)*0.1,0), IF(AND(MROUND(S95,10)&gt; 900000, MROUND(S95,10)&lt;= 1200000),  ROUND(45000+ ABS(MROUND(S95,10)- 900000)*0.15,0),IF(AND(MROUND(S95,10)&gt; 1200000, MROUND(S95,10)&lt;= 1500000),  ROUND(90000+ ABS(MROUND(S95,10)- 1200000)*0.2,0), IF(MROUND(S95,10)&gt; 1500000,  ROUND(150000+ABS(MROUND(S95,10)- 1500000)*0.3,0), 0)))))),IF(AND(B95="2024-2025",'Basic Information'!$AG$24="No"), IF(MROUND(S95,10)&lt;= 300000, 0, IF(AND(MROUND(S95,10)&gt; 300000, MROUND(S95,10)&lt;= 700000), ROUND(ABS(MROUND(S95,10)- 300000)*0.05,0), IF(AND(MROUND(S95,10)&gt; 700000, MROUND(S95,10)&lt;= 1000000),  ROUND(20000+ ABS(MROUND(S95,10)- 700000)*0.1,0), IF(AND(MROUND(S95,10)&gt; 1000000, MROUND(S95,10)&lt;= 1200000),  ROUND(50000+ ABS(MROUND(S95,10)- 1000000)*0.15,0),IF(AND(MROUND(S95,10)&gt; 1200000, MROUND(S95,10)&lt;= 1500000),  ROUND(80000+ ABS(MROUND(S95,10)- 1200000)*0.2,0), IF(MROUND(S95,10)&gt; 1500000,  ROUND(140000+ABS(MROUND(S95,10)- 1500000)*0.3,0), 0)))))),0)))))))))))))))))</f>
        <v>0</v>
      </c>
      <c r="AY95" s="6">
        <f>IF(OR(B95="2013-2014",B95="2014-2015",B95="2015-2016"),IF(AND(MROUND(S95,10)&lt;=500000,MROUND(S95,10)&lt;&gt;0),IF(AX95&lt;=2000, AX95,2000),0), IF(B95="2016-2017",IF(AND(MROUND(S95,10)&lt;=500000, MROUND(S95,10)&lt;&gt;0),IF(AX95&lt;=5000, AX95,5000),0), IF(OR(B95="2017-2018",B95="2018-2019"),IF(AND(MROUND(S95,10)&lt;=350000,MROUND(S95,10)&lt;&gt;0),IF(AX95&lt;=2500, AX95,2500),0), IF(OR(B95="2019-2020",B95="2020-2021",B95="2021-2022",B95="2022-2023",AND(B95="2023-2024",'Basic Information'!$AG$21="Yes"),AND(B95="2024-2025",'Basic Information'!$AG$24="Yes")),IF(AND(MROUND(S95,10)&lt;=500000,MROUND(S95,10)&lt;&gt;0),IF(AX95&lt;=12500, AX95,12500),0), IF(OR(AND(B95="2023-2024",'Basic Information'!$AG$21="No")),IF(AND(MROUND(S95,10)&lt;=700000,MROUND(S95,10)&lt;&gt;0),IF(AX95&lt;=25000, AX95,25000),IF(AND(MROUND(S95,10)&lt;&gt;0,(MROUND(S95,10)-700000)&lt;= AX95), AX95-(MROUND(S95,10)-700000),0)), IF(OR(AND(B95="2024-2025",'Basic Information'!$AG$24="No")),IF(AND(MROUND(S95,10)&lt;=700000,MROUND(S95,10)&lt;&gt;0),IF(AX95&lt;=20000, AX95,20000),IF(AND(MROUND(S95,10)&lt;&gt;0,(MROUND(S95,10)-700000)&lt;= AX95), AX95-(MROUND(S95,10)-700000),0)),0))))))</f>
        <v>0</v>
      </c>
      <c r="AZ95" s="6">
        <f t="shared" si="7"/>
        <v>0</v>
      </c>
      <c r="BA95" s="6">
        <f t="shared" si="8"/>
        <v>0</v>
      </c>
    </row>
    <row r="96" spans="2:53" x14ac:dyDescent="0.3">
      <c r="B96" s="545" t="str">
        <f>IF(ISBLANK('Form 10E - Old Scheme'!B96),"",'Form 10E - Old Scheme'!B96)</f>
        <v/>
      </c>
      <c r="C96" s="546"/>
      <c r="D96" s="546"/>
      <c r="E96" s="546"/>
      <c r="F96" s="547"/>
      <c r="G96" s="458">
        <f>IF(ISNUMBER('Form 10E - Old Scheme'!G96),'Form 10E - Old Scheme'!G96,0)</f>
        <v>0</v>
      </c>
      <c r="H96" s="459"/>
      <c r="I96" s="459"/>
      <c r="J96" s="459"/>
      <c r="K96" s="459"/>
      <c r="L96" s="460"/>
      <c r="M96" s="458">
        <f>IF(ISNUMBER('Form 10E - Old Scheme'!M96),'Form 10E - Old Scheme'!M96,0)</f>
        <v>0</v>
      </c>
      <c r="N96" s="459"/>
      <c r="O96" s="459"/>
      <c r="P96" s="459"/>
      <c r="Q96" s="459"/>
      <c r="R96" s="460"/>
      <c r="S96" s="458">
        <f t="shared" si="2"/>
        <v>0</v>
      </c>
      <c r="T96" s="459"/>
      <c r="U96" s="459"/>
      <c r="V96" s="459"/>
      <c r="W96" s="459"/>
      <c r="X96" s="460"/>
      <c r="Y96" s="458">
        <f t="shared" si="3"/>
        <v>0</v>
      </c>
      <c r="Z96" s="459"/>
      <c r="AA96" s="459"/>
      <c r="AB96" s="459"/>
      <c r="AC96" s="459"/>
      <c r="AD96" s="460"/>
      <c r="AE96" s="458">
        <f t="shared" si="4"/>
        <v>0</v>
      </c>
      <c r="AF96" s="459"/>
      <c r="AG96" s="459"/>
      <c r="AH96" s="459"/>
      <c r="AI96" s="459"/>
      <c r="AJ96" s="461"/>
      <c r="AK96" s="462">
        <f t="shared" si="0"/>
        <v>0</v>
      </c>
      <c r="AL96" s="463"/>
      <c r="AM96" s="463"/>
      <c r="AN96" s="463"/>
      <c r="AO96" s="463"/>
      <c r="AP96" s="464"/>
      <c r="AQ96" s="36" t="str">
        <f t="shared" si="9"/>
        <v/>
      </c>
      <c r="AT96" s="6">
        <f>IF( AND(OR(B96="2005-2006",B96="2006-2007"),$U$22&lt;&gt;"Female"),IF( MROUND(G96,10)&lt;= 100000, 0, IF(AND(MROUND(G96,10)&gt; 100000,MROUND(G96,10)&lt;= 150000),  ROUND(ABS(MROUND(G96,10)- 100000)*0.1,0), IF(AND(MROUND(G96,10)&gt; 150000, MROUND(G96,10)&lt;= 250000), ROUND(5000+ ABS(MROUND(G96,10)- 150000)*0.2,0),IF(MROUND(G96,10)&gt; 250000,  ROUND(25000+ABS(MROUND(G96,10)- 250000)*0.3,0),  0)))),IF(AND(OR(B96="2005-2006",B96="2006-2007"),$U$22="Female"),IF(MROUND(G96,10)&lt;= 135000, 0, IF(AND(MROUND(G96,10)&gt; 135000, MROUND(G96,10)&lt;= 150000), ROUND(ABS(MROUND(G96,10)- 135000)*0.1,0), IF(AND(MROUND(G96,10)&gt; 150000, MROUND(G96,10)&lt;= 250000), ROUND(1500+ ABS(MROUND(G96,10)- 150000)*0.2,0),  IF(MROUND(G96,10)&gt; 250000, ROUND(21500+ABS(MROUND(G96,10)- 250000)*0.3,0),0)))),IF(AND(B96="2007-2008",$U$22&lt;&gt;"Female"), IF(MROUND(G96,10)&lt;= 110000,  0,  IF(AND(MROUND(G96,10)&gt; 110000, MROUND(G96,10)&lt;= 150000), ROUND(ABS(MROUND(G96,10)- 110000)*0.1,0),  IF(AND(MROUND(G96,10)&gt; 150000, MROUND(G96,10)&lt;= 250000),  ROUND(4000+ ABS(MROUND(G96,10)- 150000)*0.2,0),   IF(MROUND(G96,10)&gt; 250000,   ROUND(24000+ABS(MROUND(G96,10)- 250000)*0.3,0),0)))),IF(AND(B96="2007-2008",$U$22="Female"), IF(MROUND(G96,10)&lt;= 145000, 0, IF(AND(MROUND(G96,10)&gt; 145000, MROUND(G96,10)&lt;= 150000),     ROUND(ABS(MROUND(G96,10)- 145000)*0.1,0),  IF(AND(MROUND(G96,10)&gt; 150000, MROUND(G96,10)&lt;= 250000),  ROUND(500+ ABS(MROUND(G96,10)- 150000)*0.2,0),  IF(MROUND(G96,10)&gt; 250000, ROUND(20500+ABS(MROUND(G96,10)- 250000)*0.3,0),0)))), IF(AND(B96="2008-2009",$U$22&lt;&gt;"Female"), IF(MROUND(G96,10)&lt;= 150000, 0, IF(AND(MROUND(G96,10)&gt; 150000, MROUND(G96,10)&lt;= 300000), ROUND(ABS(MROUND(G96,10)- 150000)*0.1,0), IF(AND(MROUND(G96,10)&gt; 300000, MROUND(G96,10)&lt;= 500000),  ROUND(15000+ ABS(MROUND(G96,10)- 300000)*0.2,0),  IF(MROUND(G96,10)&gt; 500000,  ROUND(55000+ABS(MROUND(G96,10)- 500000)*0.3,0),0)))), IF(AND(B96="2008-2009",$U$22="Female"), IF(MROUND(G96,10)&lt;= 180000, 0, IF(AND(MROUND(G96,10)&gt; 180000, MROUND(G96,10)&lt;= 300000), ROUND(ABS(MROUND(G96,10)- 180000)*0.1,0), IF(AND(MROUND(G96,10)&gt; 300000, MROUND(G96,10)&lt;= 500000), ROUND(12000+ ABS(MROUND(G96,10)- 300000)*0.2,0),  IF(MROUND(G96,10)&gt; 500000,  ROUND(52000+ABS(MROUND(G96,10)- 500000)*0.3,0),0)))), IF(AND(B96="2009-2010", $U$22&lt;&gt;"Female"), IF(MROUND(G96,10)&lt;= 160000, 0, IF(AND(MROUND(G96,10)&gt; 160000, MROUND(G96,10)&lt;= 300000),ROUND(ABS(MROUND(G96,10)- 160000)*0.1,0), IF(AND(MROUND(G96,10)&gt; 300000, MROUND(G96,10)&lt;= 500000),ROUND(14000+ ABS(MROUND(G96,10)- 300000)*0.2,0),  IF(MROUND(G96,10)&gt; 500000, ROUND(54000+ABS(MROUND(G96,10)- 500000)*0.3,0),0)))),IF(AND(B96="2009-2010",$U$22="Female"), IF(MROUND(G96,10)&lt;= 190000, 0, IF(AND(MROUND(G96,10)&gt; 190000, MROUND(G96,10)&lt;= 300000),ROUND(ABS(MROUND(G96,10)- 190000)*0.1,0), IF(AND(MROUND(G96,10)&gt; 300000, MROUND(G96,10)&lt;= 500000), ROUND(11000+ ABS(MROUND(G96,10)- 300000)*0.2,0),IF(MROUND(G96,10)&gt; 500000,  ROUND(51000+ABS(MROUND(G96,10)- 500000)*0.3,0),0)))), IF(AND(B96="2010-2011",$U$22&lt;&gt;"Female"), IF(MROUND(G96,10)&lt;= 160000, 0, IF(AND(MROUND(G96,10)&gt; 160000, MROUND(G96,10)&lt;= 500000), ROUND(ABS(MROUND(G96,10)- 160000)*0.1,0), IF(AND(MROUND(G96,10)&gt; 500000, MROUND(G96,10)&lt;= 800000), ROUND(34000+ ABS(MROUND(G96,10)- 500000)*0.2,0),  IF(MROUND(G96,10)&gt; 800000,  ROUND(94000+ABS(MROUND(G96,10)- 800000)*0.3,0),0)))), IF(AND(OR(B96="2010-2011",B96="2011-2012"),$U$22="Female"), IF(MROUND(G96,10)&lt;= 190000, 0, IF(AND(MROUND(G96,10)&gt; 190000, MROUND(G96,10)&lt;= 500000), ROUND(ABS(MROUND(G96,10)- 190000)*0.1,0), IF(AND(MROUND(G96,10)&gt; 500000, MROUND(G96,10)&lt;= 800000),  ROUND(31000+ ABS(MROUND(G96,10)- 500000)*0.2,0),  IF(MROUND(G96,10)&gt; 800000,  ROUND(91000+ABS(MROUND(G96,10)- 800000)*0.3,0),0)))), IF(AND(B96="2011-2012", $U$22&lt;&gt;"Female"), IF(MROUND(G96,10)&lt;= 180000, 0, IF(AND(MROUND(G96,10)&gt; 180000, MROUND(G96,10)&lt;= 500000), ROUND(ABS(MROUND(G96,10)- 180000)*0.1,0), IF(AND(MROUND(G96,10)&gt; 500000, MROUND(G96,10)&lt;= 800000),  ROUND(32000+ ABS(MROUND(G96,10)- 500000)*0.2,0),  IF(MROUND(G96,10)&gt; 800000,  ROUND(92000+ABS(MROUND(G96,10)- 800000)*0.3,0),0)))), IF(OR(B96="2012-2013",B96="2013-2014"), IF(MROUND(G96,10)&lt;= 200000, 0, IF(AND(MROUND(G96,10)&gt; 200000, MROUND(G96,10)&lt;= 500000), ROUND(ABS(MROUND(G96,10)- 200000)*0.1,0), IF(AND(MROUND(G96,10)&gt; 500000, MROUND(G96,10)&lt;= 1000000),  ROUND(30000+ ABS(MROUND(G96,10)- 500000)*0.2,0),  IF(MROUND(G96,10)&gt; 1000000,  ROUND(130000+ABS(MROUND(G96,10)- 1000000)*0.3,0),0)))), IF(OR(B96="2014-2015", B96="2015-2016",B96="2016-2017"), IF(MROUND(G96,10)&lt;= 250000, 0, IF(AND(MROUND(G96,10)&gt; 250000, MROUND(G96,10)&lt;= 500000), ROUND(ABS(MROUND(G96,10)- 250000)*0.1,0), IF(AND(MROUND(G96,10)&gt; 500000, MROUND(G96,10)&lt;= 1000000),  ROUND(25000+ ABS(MROUND(G96,10)- 500000)*0.2,0),  IF(MROUND(G96,10)&gt; 1000000,  ROUND(125000+ABS(MROUND(G96,10)- 1000000)*0.3,0), 0)))), IF(OR(B96="2017-2018",B96="2018-2019",B96="2019-2020",AND(B96="2020-2021",'Basic Information'!$AG$12="No"),AND(B96="2021-2022",'Basic Information'!$AG$15="No"),AND(B96="2022-2023",'Basic Information'!$AG$18="No"),AND(B96="2023-2024",'Basic Information'!$AG$21="Yes"),AND(B96="2024-2025",'Basic Information'!$AG$24="Yes")), IF(MROUND(G96,10)&lt;= 250000, 0, IF(AND(MROUND(G96,10)&gt; 250000, MROUND(G96,10)&lt;= 500000), ROUND(ABS(MROUND(G96,10)- 250000)*0.05,0), IF(AND(MROUND(G96,10)&gt; 500000, MROUND(G96,10)&lt;= 1000000),  ROUND(12500+ ABS(MROUND(G96,10)- 500000)*0.2,0),  IF(MROUND(G96,10)&gt; 1000000,  ROUND(112500+ABS(MROUND(G96,10)- 1000000)*0.3,0), 0)))),IF(OR(AND(B96="2020-2021",'Basic Information'!$AG$12="Yes"),AND(B96="2021-2022",'Basic Information'!$AG$15="Yes"),AND(B96="2022-2023",'Basic Information'!$AG$18="Yes")), IF(MROUND(G96,10)&lt;= 250000, 0, IF(AND(MROUND(G96,10)&gt; 250000, MROUND(G96,10)&lt;= 500000), ROUND(ABS(MROUND(G96,10)- 250000)*0.05,0), IF(AND(MROUND(G96,10)&gt; 500000, MROUND(G96,10)&lt;= 750000),  ROUND(12500+ ABS(MROUND(G96,10)- 500000)*0.1,0), IF(AND(MROUND(G96,10)&gt; 750000, MROUND(G96,10)&lt;= 1000000),  ROUND(37500+ ABS(MROUND(G96,10)- 750000)*0.15,0),IF(AND(MROUND(G96,10)&gt; 1000000, MROUND(G96,10)&lt;= 1250000),  ROUND(75000+ ABS(MROUND(G96,10)- 1000000)*0.2,0),IF(AND(MROUND(G96,10)&gt; 1250000, MROUND(G96,10)&lt;= 1500000),  ROUND(125000+ ABS(MROUND(G96,10)- 1250000)*0.25,0), IF(MROUND(G96,10)&gt; 1500000,  ROUND(187500+ABS(MROUND(G96,10)- 1500000)*0.3,0), 0))))))),IF(AND(B96="2023-2024",'Basic Information'!$AG$21="No"), IF(MROUND(G96,10)&lt;= 300000, 0, IF(AND(MROUND(G96,10)&gt; 300000, MROUND(G96,10)&lt;= 600000), ROUND(ABS(MROUND(G96,10)- 300000)*0.05,0), IF(AND(MROUND(G96,10)&gt; 600000, MROUND(G96,10)&lt;= 900000),  ROUND(15000+ ABS(MROUND(G96,10)- 600000)*0.1,0), IF(AND(MROUND(G96,10)&gt; 900000, MROUND(G96,10)&lt;= 1200000),  ROUND(45000+ ABS(MROUND(G96,10)- 900000)*0.15,0),IF(AND(MROUND(G96,10)&gt; 1200000, MROUND(G96,10)&lt;= 1500000),  ROUND(90000+ ABS(MROUND(G96,10)- 1200000)*0.2,0), IF(MROUND(G96,10)&gt; 1500000,  ROUND(150000+ABS(MROUND(G96,10)- 1500000)*0.3,0), 0)))))),IF(AND(B96="2024-2025",'Basic Information'!$AG$24="No"), IF(MROUND(G96,10)&lt;= 300000, 0, IF(AND(MROUND(G96,10)&gt; 300000, MROUND(G96,10)&lt;= 700000), ROUND(ABS(MROUND(G96,10)- 300000)*0.05,0), IF(AND(MROUND(G96,10)&gt; 700000, MROUND(G96,10)&lt;= 1000000),  ROUND(20000+ ABS(MROUND(G96,10)- 700000)*0.1,0), IF(AND(MROUND(G96,10)&gt; 1000000, MROUND(G96,10)&lt;= 1200000),  ROUND(50000+ ABS(MROUND(G96,10)- 1000000)*0.15,0),IF(AND(MROUND(G96,10)&gt; 1200000, MROUND(G96,10)&lt;= 1500000),  ROUND(80000+ ABS(MROUND(G96,10)- 1200000)*0.2,0), IF(MROUND(G96,10)&gt; 1500000,  ROUND(140000+ABS(MROUND(G96,10)- 1500000)*0.3,0), 0)))))),0)))))))))))))))))</f>
        <v>0</v>
      </c>
      <c r="AU96" s="6">
        <f>IF(OR(B96="2013-2014",B96="2014-2015",B96="2015-2016"),IF(AND(MROUND(G96,10)&lt;=500000,MROUND(G96,10)&lt;&gt;0),IF(AT96&lt;=2000, AT96,2000),0), IF(B96="2016-2017",IF(AND(MROUND(G96,10)&lt;=500000,MROUND(G96,10)&lt;&gt;0),IF(AT96&lt;=5000, AT96,5000),0), IF(OR(B96="2017-2018",B96="2018-2019"),IF(AND(MROUND(G96,10)&lt;=350000,MROUND(G96,10)&lt;&gt;0),IF(AT96&lt;=2500, AT96,2500),0), IF(OR(B96="2019-2020",B96="2020-2021",B96="2021-2022",B96="2022-2023",AND(B96="2023-2024",'Basic Information'!$AG$21="Yes"),AND(B96="2024-2025",'Basic Information'!$AG$24="Yes")),IF(AND(MROUND(G96,10)&lt;=500000,MROUND(G96,10)&lt;&gt;0),IF(AT96&lt;=12500, AT96,12500),0), IF(OR(AND(B96="2023-2024",'Basic Information'!$AG$21="No")),IF(AND(MROUND(G96,10)&lt;=700000,MROUND(G96,10)&lt;&gt;0),IF(AT96&lt;=25000, AT96,25000),IF(AND(MROUND(G96,10)&lt;&gt;0,(MROUND(G96,10)-700000)&lt;=AT96),AT96-(MROUND(G96,10)-700000),0)), IF(OR(AND(B96="2024-2025",'Basic Information'!$AG$24="No")),IF(AND(MROUND(G96,10)&lt;=700000,MROUND(G96,10)&lt;&gt;0),IF(AT96&lt;=20000, AT96,20000),IF(AND(MROUND(G96,10)&lt;&gt;0,(MROUND(G96,10)-700000)&lt;=AT96),AT96-(MROUND(G96,10)-700000),0)),0))))))</f>
        <v>0</v>
      </c>
      <c r="AV96" s="6">
        <f t="shared" si="5"/>
        <v>0</v>
      </c>
      <c r="AW96" s="6">
        <f t="shared" si="6"/>
        <v>0</v>
      </c>
      <c r="AX96" s="6">
        <f>IF( AND(OR(B96="2005-2006",B96="2006-2007"),$U$22&lt;&gt;"Female"),IF( MROUND(S96,10)&lt;= 100000, 0, IF(AND(MROUND(S96,10)&gt; 100000,MROUND(S96,10)&lt;= 150000),  ROUND(ABS(MROUND(S96,10)- 100000)*0.1,0), IF(AND(MROUND(S96,10)&gt; 150000, MROUND(S96,10)&lt;= 250000), ROUND(5000+ ABS(MROUND(S96,10)- 150000)*0.2,0),IF(MROUND(S96,10)&gt; 250000,  ROUND(25000+ABS(MROUND(S96,10)- 250000)*0.3,0),  0)))),IF(AND(OR(B96="2005-2006",B96="2006-2007"),$U$22="Female"),IF(MROUND(S96,10)&lt;= 135000, 0, IF(AND(MROUND(S96,10)&gt; 135000, MROUND(S96,10)&lt;= 150000), ROUND(ABS(MROUND(S96,10)- 135000)*0.1,0), IF(AND(MROUND(S96,10)&gt; 150000, MROUND(S96,10)&lt;= 250000), ROUND(1500+ ABS(MROUND(S96,10)- 150000)*0.2,0),  IF(MROUND(S96,10)&gt; 250000, ROUND(21500+ABS(MROUND(S96,10)- 250000)*0.3,0),0)))),IF(AND(B96="2007-2008",$U$22&lt;&gt;"Female"), IF(MROUND(S96,10)&lt;= 110000,  0,  IF(AND(MROUND(S96,10)&gt; 110000, MROUND(S96,10)&lt;= 150000),     ROUND(ABS(MROUND(S96,10)- 110000)*0.1,0),  IF(AND(MROUND(S96,10)&gt; 150000, MROUND(S96,10)&lt;= 250000),  ROUND(4000+ ABS(MROUND(S96,10)- 150000)*0.2,0),   IF(MROUND(S96,10)&gt; 250000,   ROUND(24000+ABS(MROUND(S96,10)- 250000)*0.3,0),0)))),IF(AND(B96="2007-2008",$U$22="Female"), IF(MROUND(S96,10)&lt;= 145000, 0, IF(AND(MROUND(S96,10)&gt; 145000, MROUND(S96,10)&lt;= 150000),     ROUND(ABS(MROUND(S96,10)- 145000)*0.1,0),  IF(AND(MROUND(S96,10)&gt; 150000, MROUND(S96,10)&lt;= 250000),  ROUND(500+ ABS(MROUND(S96,10)- 150000)*0.2,0),  IF(MROUND(S96,10)&gt; 250000, ROUND(20500+ABS(MROUND(S96,10)- 250000)*0.3,0),0)))), IF(AND(B96="2008-2009",$U$22&lt;&gt;"Female"), IF(MROUND(S96,10)&lt;= 150000, 0, IF(AND(MROUND(S96,10)&gt; 150000, MROUND(S96,10)&lt;= 300000), ROUND(ABS(MROUND(S96,10)- 150000)*0.1,0), IF(AND(MROUND(S96,10)&gt; 300000, MROUND(S96,10)&lt;= 500000),  ROUND(15000+ ABS(MROUND(S96,10)- 300000)*0.2,0),  IF(MROUND(S96,10)&gt; 500000,  ROUND(55000+ABS(MROUND(S96,10)- 500000)*0.3,0),0)))), IF(AND(B96="2008-2009",$U$22="Female"), IF(MROUND(S96,10)&lt;= 180000, 0, IF(AND(MROUND(S96,10)&gt; 180000, MROUND(S96,10)&lt;= 300000), ROUND(ABS(MROUND(S96,10)- 180000)*0.1,0), IF(AND(MROUND(S96,10)&gt; 300000, MROUND(S96,10)&lt;= 500000), ROUND(12000+ ABS(MROUND(S96,10)- 300000)*0.2,0),  IF(MROUND(S96,10)&gt; 500000,  ROUND(52000+ABS(MROUND(S96,10)- 500000)*0.3,0),0)))), IF(AND(B96="2009-2010", $U$22&lt;&gt;"Female"), IF(MROUND(S96,10)&lt;= 160000, 0, IF(AND(MROUND(S96,10)&gt; 160000, MROUND(S96,10)&lt;= 300000),ROUND(ABS(MROUND(S96,10)- 160000)*0.1,0), IF(AND(MROUND(S96,10)&gt; 300000, MROUND(S96,10)&lt;= 500000),ROUND(14000+ ABS(MROUND(S96,10)- 300000)*0.2,0),  IF(MROUND(S96,10)&gt; 500000, ROUND(54000+ABS(MROUND(S96,10)- 500000)*0.3,0),0)))),IF(AND(B96="2009-2010",$U$22="Female"), IF(MROUND(S96,10)&lt;= 190000, 0, IF(AND(MROUND(S96,10)&gt; 190000, MROUND(S96,10)&lt;= 300000),ROUND(ABS(MROUND(S96,10)- 190000)*0.1,0), IF(AND(MROUND(S96,10)&gt; 300000, MROUND(S96,10)&lt;= 500000), ROUND(11000+ ABS(MROUND(S96,10)- 300000)*0.2,0),IF(MROUND(S96,10)&gt; 500000,  ROUND(51000+ABS(MROUND(S96,10)- 500000)*0.3,0),0)))), IF(AND(B96="2010-2011",$U$22&lt;&gt;"Female"), IF(MROUND(S96,10)&lt;= 160000, 0, IF(AND(MROUND(S96,10)&gt; 160000, MROUND(S96,10)&lt;= 500000), ROUND(ABS(MROUND(S96,10)- 160000)*0.1,0), IF(AND(MROUND(S96,10)&gt; 500000, MROUND(S96,10)&lt;= 800000), ROUND(34000+ ABS(MROUND(S96,10)- 500000)*0.2,0),  IF(MROUND(S96,10)&gt; 800000,  ROUND(94000+ABS(MROUND(S96,10)- 800000)*0.3,0),0)))), IF(AND(OR(B96="2010-2011",B96="2011-2012"),$U$22="Female"), IF(MROUND(S96,10)&lt;= 190000, 0, IF(AND(MROUND(S96,10)&gt; 190000, MROUND(S96,10)&lt;= 500000), ROUND(ABS(MROUND(S96,10)- 190000)*0.1,0), IF(AND(MROUND(S96,10)&gt; 500000, MROUND(S96,10)&lt;= 800000),  ROUND(31000+ ABS(MROUND(S96,10)- 500000)*0.2,0),  IF(MROUND(S96,10)&gt; 800000,  ROUND(91000+ABS(MROUND(S96,10)- 800000)*0.3,0),0)))), IF(AND(B96="2011-2012", $U$22&lt;&gt;"Female"), IF(MROUND(S96,10)&lt;= 180000, 0, IF(AND(MROUND(S96,10)&gt; 180000, MROUND(S96,10)&lt;= 500000), ROUND(ABS(MROUND(S96,10)- 180000)*0.1,0), IF(AND(MROUND(S96,10)&gt; 500000, MROUND(S96,10)&lt;= 800000),  ROUND(32000+ ABS(MROUND(S96,10)- 500000)*0.2,0),  IF(MROUND(S96,10)&gt; 800000,  ROUND(92000+ABS(MROUND(S96,10)- 800000)*0.3,0),0)))), IF(OR(B96="2012-2013",B96="2013-2014"), IF(MROUND(S96,10)&lt;= 200000, 0, IF(AND(MROUND(S96,10)&gt; 200000, MROUND(S96,10)&lt;= 500000), ROUND(ABS(MROUND(S96,10)- 200000)*0.1,0), IF(AND(MROUND(S96,10)&gt; 500000, MROUND(S96,10)&lt;= 1000000),  ROUND(30000+ ABS(MROUND(S96,10)- 500000)*0.2,0),  IF(MROUND(S96,10)&gt; 1000000,  ROUND(130000+ABS(MROUND(S96,10)- 1000000)*0.3,0),0)))), IF(OR(B96="2014-2015", B96="2015-2016",B96="2016-2017"), IF(MROUND(S96,10)&lt;= 250000, 0, IF(AND(MROUND(S96,10)&gt; 250000, MROUND(S96,10)&lt;= 500000), ROUND(ABS(MROUND(S96,10)- 250000)*0.1,0), IF(AND(MROUND(S96,10)&gt; 500000, MROUND(S96,10)&lt;= 1000000),  ROUND(25000+ ABS(MROUND(S96,10)- 500000)*0.2,0),  IF(MROUND(S96,10)&gt; 1000000,  ROUND(125000+ABS(MROUND(S96,10)- 1000000)*0.3,0), 0)))),IF(OR(B96="2017-2018",B96="2018-2019",B96="2019-2020",AND(B96="2020-2021",'Basic Information'!$AG$12="No"),AND(B96="2021-2022",'Basic Information'!$AG$15="No"),AND(B96="2022-2023",'Basic Information'!$AG$18="No"),AND(B96="2023-2024",'Basic Information'!$AG$21="Yes"),AND(B96="2024-2025",'Basic Information'!$AG$24="Yes")), IF(MROUND(S96,10)&lt;= 250000, 0, IF(AND(MROUND(S96,10)&gt; 250000, MROUND(S96,10)&lt;= 500000), ROUND(ABS(MROUND(S96,10)- 250000)*0.05,0), IF(AND(MROUND(S96,10)&gt; 500000, MROUND(S96,10)&lt;= 1000000),  ROUND(12500+ ABS(MROUND(S96,10)- 500000)*0.2,0),  IF(MROUND(S96,10)&gt; 1000000,  ROUND(112500+ABS(MROUND(S96,10)- 1000000)*0.3,0), 0)))),IF(OR(AND(B96="2020-2021",'Basic Information'!$AG$12="Yes"),AND(B96="2021-2022",'Basic Information'!$AG$15="Yes"),AND(B96="2022-2023",'Basic Information'!$AG$18="Yes")), IF(MROUND(S96,10)&lt;= 250000, 0, IF(AND(MROUND(S96,10)&gt; 250000, MROUND(S96,10)&lt;= 500000), ROUND(ABS(MROUND(S96,10)- 250000)*0.05,0), IF(AND(MROUND(S96,10)&gt; 500000, MROUND(S96,10)&lt;= 750000),  ROUND(12500+ ABS(MROUND(S96,10)- 500000)*0.1,0), IF(AND(MROUND(S96,10)&gt; 750000, MROUND(S96,10)&lt;= 1000000),  ROUND(37500+ ABS(MROUND(S96,10)- 750000)*0.15,0),IF(AND(MROUND(S96,10)&gt; 1000000, MROUND(S96,10)&lt;= 1250000),  ROUND(75000+ ABS(MROUND(S96,10)- 1000000)*0.2,0),IF(AND(MROUND(S96,10)&gt; 1250000, MROUND(S96,10)&lt;= 1500000),  ROUND(125000+ ABS(MROUND(S96,10)- 1250000)*0.25,0), IF(MROUND(S96,10)&gt; 1500000,  ROUND(187500+ABS(MROUND(S96,10)- 1500000)*0.3,0), 0))))))),IF(AND(B96="2023-2024",'Basic Information'!$AG$21="No"), IF(MROUND(S96,10)&lt;= 300000, 0, IF(AND(MROUND(S96,10)&gt; 300000, MROUND(S96,10)&lt;= 600000), ROUND(ABS(MROUND(S96,10)- 300000)*0.05,0), IF(AND(MROUND(S96,10)&gt; 600000, MROUND(S96,10)&lt;= 900000),  ROUND(15000+ ABS(MROUND(S96,10)- 600000)*0.1,0), IF(AND(MROUND(S96,10)&gt; 900000, MROUND(S96,10)&lt;= 1200000),  ROUND(45000+ ABS(MROUND(S96,10)- 900000)*0.15,0),IF(AND(MROUND(S96,10)&gt; 1200000, MROUND(S96,10)&lt;= 1500000),  ROUND(90000+ ABS(MROUND(S96,10)- 1200000)*0.2,0), IF(MROUND(S96,10)&gt; 1500000,  ROUND(150000+ABS(MROUND(S96,10)- 1500000)*0.3,0), 0)))))),IF(AND(B96="2024-2025",'Basic Information'!$AG$24="No"), IF(MROUND(S96,10)&lt;= 300000, 0, IF(AND(MROUND(S96,10)&gt; 300000, MROUND(S96,10)&lt;= 700000), ROUND(ABS(MROUND(S96,10)- 300000)*0.05,0), IF(AND(MROUND(S96,10)&gt; 700000, MROUND(S96,10)&lt;= 1000000),  ROUND(20000+ ABS(MROUND(S96,10)- 700000)*0.1,0), IF(AND(MROUND(S96,10)&gt; 1000000, MROUND(S96,10)&lt;= 1200000),  ROUND(50000+ ABS(MROUND(S96,10)- 1000000)*0.15,0),IF(AND(MROUND(S96,10)&gt; 1200000, MROUND(S96,10)&lt;= 1500000),  ROUND(80000+ ABS(MROUND(S96,10)- 1200000)*0.2,0), IF(MROUND(S96,10)&gt; 1500000,  ROUND(140000+ABS(MROUND(S96,10)- 1500000)*0.3,0), 0)))))),0)))))))))))))))))</f>
        <v>0</v>
      </c>
      <c r="AY96" s="6">
        <f>IF(OR(B96="2013-2014",B96="2014-2015",B96="2015-2016"),IF(AND(MROUND(S96,10)&lt;=500000,MROUND(S96,10)&lt;&gt;0),IF(AX96&lt;=2000, AX96,2000),0), IF(B96="2016-2017",IF(AND(MROUND(S96,10)&lt;=500000, MROUND(S96,10)&lt;&gt;0),IF(AX96&lt;=5000, AX96,5000),0), IF(OR(B96="2017-2018",B96="2018-2019"),IF(AND(MROUND(S96,10)&lt;=350000,MROUND(S96,10)&lt;&gt;0),IF(AX96&lt;=2500, AX96,2500),0), IF(OR(B96="2019-2020",B96="2020-2021",B96="2021-2022",B96="2022-2023",AND(B96="2023-2024",'Basic Information'!$AG$21="Yes"),AND(B96="2024-2025",'Basic Information'!$AG$24="Yes")),IF(AND(MROUND(S96,10)&lt;=500000,MROUND(S96,10)&lt;&gt;0),IF(AX96&lt;=12500, AX96,12500),0), IF(OR(AND(B96="2023-2024",'Basic Information'!$AG$21="No")),IF(AND(MROUND(S96,10)&lt;=700000,MROUND(S96,10)&lt;&gt;0),IF(AX96&lt;=25000, AX96,25000),IF(AND(MROUND(S96,10)&lt;&gt;0,(MROUND(S96,10)-700000)&lt;= AX96), AX96-(MROUND(S96,10)-700000),0)), IF(OR(AND(B96="2024-2025",'Basic Information'!$AG$24="No")),IF(AND(MROUND(S96,10)&lt;=700000,MROUND(S96,10)&lt;&gt;0),IF(AX96&lt;=20000, AX96,20000),IF(AND(MROUND(S96,10)&lt;&gt;0,(MROUND(S96,10)-700000)&lt;= AX96), AX96-(MROUND(S96,10)-700000),0)),0))))))</f>
        <v>0</v>
      </c>
      <c r="AZ96" s="6">
        <f t="shared" si="7"/>
        <v>0</v>
      </c>
      <c r="BA96" s="6">
        <f t="shared" si="8"/>
        <v>0</v>
      </c>
    </row>
    <row r="97" spans="2:53" x14ac:dyDescent="0.3">
      <c r="B97" s="545" t="str">
        <f>IF(ISBLANK('Form 10E - Old Scheme'!B97),"",'Form 10E - Old Scheme'!B97)</f>
        <v/>
      </c>
      <c r="C97" s="546"/>
      <c r="D97" s="546"/>
      <c r="E97" s="546"/>
      <c r="F97" s="547"/>
      <c r="G97" s="458">
        <f>IF(ISNUMBER('Form 10E - Old Scheme'!G97),'Form 10E - Old Scheme'!G97,0)</f>
        <v>0</v>
      </c>
      <c r="H97" s="459"/>
      <c r="I97" s="459"/>
      <c r="J97" s="459"/>
      <c r="K97" s="459"/>
      <c r="L97" s="460"/>
      <c r="M97" s="458">
        <f>IF(ISNUMBER('Form 10E - Old Scheme'!M97),'Form 10E - Old Scheme'!M97,0)</f>
        <v>0</v>
      </c>
      <c r="N97" s="459"/>
      <c r="O97" s="459"/>
      <c r="P97" s="459"/>
      <c r="Q97" s="459"/>
      <c r="R97" s="460"/>
      <c r="S97" s="458">
        <f t="shared" si="2"/>
        <v>0</v>
      </c>
      <c r="T97" s="459"/>
      <c r="U97" s="459"/>
      <c r="V97" s="459"/>
      <c r="W97" s="459"/>
      <c r="X97" s="460"/>
      <c r="Y97" s="458">
        <f t="shared" si="3"/>
        <v>0</v>
      </c>
      <c r="Z97" s="459"/>
      <c r="AA97" s="459"/>
      <c r="AB97" s="459"/>
      <c r="AC97" s="459"/>
      <c r="AD97" s="460"/>
      <c r="AE97" s="458">
        <f t="shared" si="4"/>
        <v>0</v>
      </c>
      <c r="AF97" s="459"/>
      <c r="AG97" s="459"/>
      <c r="AH97" s="459"/>
      <c r="AI97" s="459"/>
      <c r="AJ97" s="461"/>
      <c r="AK97" s="462">
        <f t="shared" si="0"/>
        <v>0</v>
      </c>
      <c r="AL97" s="463"/>
      <c r="AM97" s="463"/>
      <c r="AN97" s="463"/>
      <c r="AO97" s="463"/>
      <c r="AP97" s="464"/>
      <c r="AQ97" s="36" t="str">
        <f t="shared" si="9"/>
        <v/>
      </c>
      <c r="AT97" s="6">
        <f>IF( AND(OR(B97="2005-2006",B97="2006-2007"),$U$22&lt;&gt;"Female"),IF( MROUND(G97,10)&lt;= 100000, 0, IF(AND(MROUND(G97,10)&gt; 100000,MROUND(G97,10)&lt;= 150000),  ROUND(ABS(MROUND(G97,10)- 100000)*0.1,0), IF(AND(MROUND(G97,10)&gt; 150000, MROUND(G97,10)&lt;= 250000), ROUND(5000+ ABS(MROUND(G97,10)- 150000)*0.2,0),IF(MROUND(G97,10)&gt; 250000,  ROUND(25000+ABS(MROUND(G97,10)- 250000)*0.3,0),  0)))),IF(AND(OR(B97="2005-2006",B97="2006-2007"),$U$22="Female"),IF(MROUND(G97,10)&lt;= 135000, 0, IF(AND(MROUND(G97,10)&gt; 135000, MROUND(G97,10)&lt;= 150000), ROUND(ABS(MROUND(G97,10)- 135000)*0.1,0), IF(AND(MROUND(G97,10)&gt; 150000, MROUND(G97,10)&lt;= 250000), ROUND(1500+ ABS(MROUND(G97,10)- 150000)*0.2,0),  IF(MROUND(G97,10)&gt; 250000, ROUND(21500+ABS(MROUND(G97,10)- 250000)*0.3,0),0)))),IF(AND(B97="2007-2008",$U$22&lt;&gt;"Female"), IF(MROUND(G97,10)&lt;= 110000,  0,  IF(AND(MROUND(G97,10)&gt; 110000, MROUND(G97,10)&lt;= 150000), ROUND(ABS(MROUND(G97,10)- 110000)*0.1,0),  IF(AND(MROUND(G97,10)&gt; 150000, MROUND(G97,10)&lt;= 250000),  ROUND(4000+ ABS(MROUND(G97,10)- 150000)*0.2,0),   IF(MROUND(G97,10)&gt; 250000,   ROUND(24000+ABS(MROUND(G97,10)- 250000)*0.3,0),0)))),IF(AND(B97="2007-2008",$U$22="Female"), IF(MROUND(G97,10)&lt;= 145000, 0, IF(AND(MROUND(G97,10)&gt; 145000, MROUND(G97,10)&lt;= 150000),     ROUND(ABS(MROUND(G97,10)- 145000)*0.1,0),  IF(AND(MROUND(G97,10)&gt; 150000, MROUND(G97,10)&lt;= 250000),  ROUND(500+ ABS(MROUND(G97,10)- 150000)*0.2,0),  IF(MROUND(G97,10)&gt; 250000, ROUND(20500+ABS(MROUND(G97,10)- 250000)*0.3,0),0)))), IF(AND(B97="2008-2009",$U$22&lt;&gt;"Female"), IF(MROUND(G97,10)&lt;= 150000, 0, IF(AND(MROUND(G97,10)&gt; 150000, MROUND(G97,10)&lt;= 300000), ROUND(ABS(MROUND(G97,10)- 150000)*0.1,0), IF(AND(MROUND(G97,10)&gt; 300000, MROUND(G97,10)&lt;= 500000),  ROUND(15000+ ABS(MROUND(G97,10)- 300000)*0.2,0),  IF(MROUND(G97,10)&gt; 500000,  ROUND(55000+ABS(MROUND(G97,10)- 500000)*0.3,0),0)))), IF(AND(B97="2008-2009",$U$22="Female"), IF(MROUND(G97,10)&lt;= 180000, 0, IF(AND(MROUND(G97,10)&gt; 180000, MROUND(G97,10)&lt;= 300000), ROUND(ABS(MROUND(G97,10)- 180000)*0.1,0), IF(AND(MROUND(G97,10)&gt; 300000, MROUND(G97,10)&lt;= 500000), ROUND(12000+ ABS(MROUND(G97,10)- 300000)*0.2,0),  IF(MROUND(G97,10)&gt; 500000,  ROUND(52000+ABS(MROUND(G97,10)- 500000)*0.3,0),0)))), IF(AND(B97="2009-2010", $U$22&lt;&gt;"Female"), IF(MROUND(G97,10)&lt;= 160000, 0, IF(AND(MROUND(G97,10)&gt; 160000, MROUND(G97,10)&lt;= 300000),ROUND(ABS(MROUND(G97,10)- 160000)*0.1,0), IF(AND(MROUND(G97,10)&gt; 300000, MROUND(G97,10)&lt;= 500000),ROUND(14000+ ABS(MROUND(G97,10)- 300000)*0.2,0),  IF(MROUND(G97,10)&gt; 500000, ROUND(54000+ABS(MROUND(G97,10)- 500000)*0.3,0),0)))),IF(AND(B97="2009-2010",$U$22="Female"), IF(MROUND(G97,10)&lt;= 190000, 0, IF(AND(MROUND(G97,10)&gt; 190000, MROUND(G97,10)&lt;= 300000),ROUND(ABS(MROUND(G97,10)- 190000)*0.1,0), IF(AND(MROUND(G97,10)&gt; 300000, MROUND(G97,10)&lt;= 500000), ROUND(11000+ ABS(MROUND(G97,10)- 300000)*0.2,0),IF(MROUND(G97,10)&gt; 500000,  ROUND(51000+ABS(MROUND(G97,10)- 500000)*0.3,0),0)))), IF(AND(B97="2010-2011",$U$22&lt;&gt;"Female"), IF(MROUND(G97,10)&lt;= 160000, 0, IF(AND(MROUND(G97,10)&gt; 160000, MROUND(G97,10)&lt;= 500000), ROUND(ABS(MROUND(G97,10)- 160000)*0.1,0), IF(AND(MROUND(G97,10)&gt; 500000, MROUND(G97,10)&lt;= 800000), ROUND(34000+ ABS(MROUND(G97,10)- 500000)*0.2,0),  IF(MROUND(G97,10)&gt; 800000,  ROUND(94000+ABS(MROUND(G97,10)- 800000)*0.3,0),0)))), IF(AND(OR(B97="2010-2011",B97="2011-2012"),$U$22="Female"), IF(MROUND(G97,10)&lt;= 190000, 0, IF(AND(MROUND(G97,10)&gt; 190000, MROUND(G97,10)&lt;= 500000), ROUND(ABS(MROUND(G97,10)- 190000)*0.1,0), IF(AND(MROUND(G97,10)&gt; 500000, MROUND(G97,10)&lt;= 800000),  ROUND(31000+ ABS(MROUND(G97,10)- 500000)*0.2,0),  IF(MROUND(G97,10)&gt; 800000,  ROUND(91000+ABS(MROUND(G97,10)- 800000)*0.3,0),0)))), IF(AND(B97="2011-2012", $U$22&lt;&gt;"Female"), IF(MROUND(G97,10)&lt;= 180000, 0, IF(AND(MROUND(G97,10)&gt; 180000, MROUND(G97,10)&lt;= 500000), ROUND(ABS(MROUND(G97,10)- 180000)*0.1,0), IF(AND(MROUND(G97,10)&gt; 500000, MROUND(G97,10)&lt;= 800000),  ROUND(32000+ ABS(MROUND(G97,10)- 500000)*0.2,0),  IF(MROUND(G97,10)&gt; 800000,  ROUND(92000+ABS(MROUND(G97,10)- 800000)*0.3,0),0)))), IF(OR(B97="2012-2013",B97="2013-2014"), IF(MROUND(G97,10)&lt;= 200000, 0, IF(AND(MROUND(G97,10)&gt; 200000, MROUND(G97,10)&lt;= 500000), ROUND(ABS(MROUND(G97,10)- 200000)*0.1,0), IF(AND(MROUND(G97,10)&gt; 500000, MROUND(G97,10)&lt;= 1000000),  ROUND(30000+ ABS(MROUND(G97,10)- 500000)*0.2,0),  IF(MROUND(G97,10)&gt; 1000000,  ROUND(130000+ABS(MROUND(G97,10)- 1000000)*0.3,0),0)))), IF(OR(B97="2014-2015", B97="2015-2016",B97="2016-2017"), IF(MROUND(G97,10)&lt;= 250000, 0, IF(AND(MROUND(G97,10)&gt; 250000, MROUND(G97,10)&lt;= 500000), ROUND(ABS(MROUND(G97,10)- 250000)*0.1,0), IF(AND(MROUND(G97,10)&gt; 500000, MROUND(G97,10)&lt;= 1000000),  ROUND(25000+ ABS(MROUND(G97,10)- 500000)*0.2,0),  IF(MROUND(G97,10)&gt; 1000000,  ROUND(125000+ABS(MROUND(G97,10)- 1000000)*0.3,0), 0)))), IF(OR(B97="2017-2018",B97="2018-2019",B97="2019-2020",AND(B97="2020-2021",'Basic Information'!$AG$12="No"),AND(B97="2021-2022",'Basic Information'!$AG$15="No"),AND(B97="2022-2023",'Basic Information'!$AG$18="No"),AND(B97="2023-2024",'Basic Information'!$AG$21="Yes"),AND(B97="2024-2025",'Basic Information'!$AG$24="Yes")), IF(MROUND(G97,10)&lt;= 250000, 0, IF(AND(MROUND(G97,10)&gt; 250000, MROUND(G97,10)&lt;= 500000), ROUND(ABS(MROUND(G97,10)- 250000)*0.05,0), IF(AND(MROUND(G97,10)&gt; 500000, MROUND(G97,10)&lt;= 1000000),  ROUND(12500+ ABS(MROUND(G97,10)- 500000)*0.2,0),  IF(MROUND(G97,10)&gt; 1000000,  ROUND(112500+ABS(MROUND(G97,10)- 1000000)*0.3,0), 0)))),IF(OR(AND(B97="2020-2021",'Basic Information'!$AG$12="Yes"),AND(B97="2021-2022",'Basic Information'!$AG$15="Yes"),AND(B97="2022-2023",'Basic Information'!$AG$18="Yes")), IF(MROUND(G97,10)&lt;= 250000, 0, IF(AND(MROUND(G97,10)&gt; 250000, MROUND(G97,10)&lt;= 500000), ROUND(ABS(MROUND(G97,10)- 250000)*0.05,0), IF(AND(MROUND(G97,10)&gt; 500000, MROUND(G97,10)&lt;= 750000),  ROUND(12500+ ABS(MROUND(G97,10)- 500000)*0.1,0), IF(AND(MROUND(G97,10)&gt; 750000, MROUND(G97,10)&lt;= 1000000),  ROUND(37500+ ABS(MROUND(G97,10)- 750000)*0.15,0),IF(AND(MROUND(G97,10)&gt; 1000000, MROUND(G97,10)&lt;= 1250000),  ROUND(75000+ ABS(MROUND(G97,10)- 1000000)*0.2,0),IF(AND(MROUND(G97,10)&gt; 1250000, MROUND(G97,10)&lt;= 1500000),  ROUND(125000+ ABS(MROUND(G97,10)- 1250000)*0.25,0), IF(MROUND(G97,10)&gt; 1500000,  ROUND(187500+ABS(MROUND(G97,10)- 1500000)*0.3,0), 0))))))),IF(AND(B97="2023-2024",'Basic Information'!$AG$21="No"), IF(MROUND(G97,10)&lt;= 300000, 0, IF(AND(MROUND(G97,10)&gt; 300000, MROUND(G97,10)&lt;= 600000), ROUND(ABS(MROUND(G97,10)- 300000)*0.05,0), IF(AND(MROUND(G97,10)&gt; 600000, MROUND(G97,10)&lt;= 900000),  ROUND(15000+ ABS(MROUND(G97,10)- 600000)*0.1,0), IF(AND(MROUND(G97,10)&gt; 900000, MROUND(G97,10)&lt;= 1200000),  ROUND(45000+ ABS(MROUND(G97,10)- 900000)*0.15,0),IF(AND(MROUND(G97,10)&gt; 1200000, MROUND(G97,10)&lt;= 1500000),  ROUND(90000+ ABS(MROUND(G97,10)- 1200000)*0.2,0), IF(MROUND(G97,10)&gt; 1500000,  ROUND(150000+ABS(MROUND(G97,10)- 1500000)*0.3,0), 0)))))),IF(AND(B97="2024-2025",'Basic Information'!$AG$24="No"), IF(MROUND(G97,10)&lt;= 300000, 0, IF(AND(MROUND(G97,10)&gt; 300000, MROUND(G97,10)&lt;= 700000), ROUND(ABS(MROUND(G97,10)- 300000)*0.05,0), IF(AND(MROUND(G97,10)&gt; 700000, MROUND(G97,10)&lt;= 1000000),  ROUND(20000+ ABS(MROUND(G97,10)- 700000)*0.1,0), IF(AND(MROUND(G97,10)&gt; 1000000, MROUND(G97,10)&lt;= 1200000),  ROUND(50000+ ABS(MROUND(G97,10)- 1000000)*0.15,0),IF(AND(MROUND(G97,10)&gt; 1200000, MROUND(G97,10)&lt;= 1500000),  ROUND(80000+ ABS(MROUND(G97,10)- 1200000)*0.2,0), IF(MROUND(G97,10)&gt; 1500000,  ROUND(140000+ABS(MROUND(G97,10)- 1500000)*0.3,0), 0)))))),0)))))))))))))))))</f>
        <v>0</v>
      </c>
      <c r="AU97" s="6">
        <f>IF(OR(B97="2013-2014",B97="2014-2015",B97="2015-2016"),IF(AND(MROUND(G97,10)&lt;=500000,MROUND(G97,10)&lt;&gt;0),IF(AT97&lt;=2000, AT97,2000),0), IF(B97="2016-2017",IF(AND(MROUND(G97,10)&lt;=500000,MROUND(G97,10)&lt;&gt;0),IF(AT97&lt;=5000, AT97,5000),0), IF(OR(B97="2017-2018",B97="2018-2019"),IF(AND(MROUND(G97,10)&lt;=350000,MROUND(G97,10)&lt;&gt;0),IF(AT97&lt;=2500, AT97,2500),0), IF(OR(B97="2019-2020",B97="2020-2021",B97="2021-2022",B97="2022-2023",AND(B97="2023-2024",'Basic Information'!$AG$21="Yes"),AND(B97="2024-2025",'Basic Information'!$AG$24="Yes")),IF(AND(MROUND(G97,10)&lt;=500000,MROUND(G97,10)&lt;&gt;0),IF(AT97&lt;=12500, AT97,12500),0), IF(OR(AND(B97="2023-2024",'Basic Information'!$AG$21="No")),IF(AND(MROUND(G97,10)&lt;=700000,MROUND(G97,10)&lt;&gt;0),IF(AT97&lt;=25000, AT97,25000),IF(AND(MROUND(G97,10)&lt;&gt;0,(MROUND(G97,10)-700000)&lt;=AT97),AT97-(MROUND(G97,10)-700000),0)), IF(OR(AND(B97="2024-2025",'Basic Information'!$AG$24="No")),IF(AND(MROUND(G97,10)&lt;=700000,MROUND(G97,10)&lt;&gt;0),IF(AT97&lt;=20000, AT97,20000),IF(AND(MROUND(G97,10)&lt;&gt;0,(MROUND(G97,10)-700000)&lt;=AT97),AT97-(MROUND(G97,10)-700000),0)),0))))))</f>
        <v>0</v>
      </c>
      <c r="AV97" s="6">
        <f t="shared" si="5"/>
        <v>0</v>
      </c>
      <c r="AW97" s="6">
        <f t="shared" si="6"/>
        <v>0</v>
      </c>
      <c r="AX97" s="6">
        <f>IF( AND(OR(B97="2005-2006",B97="2006-2007"),$U$22&lt;&gt;"Female"),IF( MROUND(S97,10)&lt;= 100000, 0, IF(AND(MROUND(S97,10)&gt; 100000,MROUND(S97,10)&lt;= 150000),  ROUND(ABS(MROUND(S97,10)- 100000)*0.1,0), IF(AND(MROUND(S97,10)&gt; 150000, MROUND(S97,10)&lt;= 250000), ROUND(5000+ ABS(MROUND(S97,10)- 150000)*0.2,0),IF(MROUND(S97,10)&gt; 250000,  ROUND(25000+ABS(MROUND(S97,10)- 250000)*0.3,0),  0)))),IF(AND(OR(B97="2005-2006",B97="2006-2007"),$U$22="Female"),IF(MROUND(S97,10)&lt;= 135000, 0, IF(AND(MROUND(S97,10)&gt; 135000, MROUND(S97,10)&lt;= 150000), ROUND(ABS(MROUND(S97,10)- 135000)*0.1,0), IF(AND(MROUND(S97,10)&gt; 150000, MROUND(S97,10)&lt;= 250000), ROUND(1500+ ABS(MROUND(S97,10)- 150000)*0.2,0),  IF(MROUND(S97,10)&gt; 250000, ROUND(21500+ABS(MROUND(S97,10)- 250000)*0.3,0),0)))),IF(AND(B97="2007-2008",$U$22&lt;&gt;"Female"), IF(MROUND(S97,10)&lt;= 110000,  0,  IF(AND(MROUND(S97,10)&gt; 110000, MROUND(S97,10)&lt;= 150000),     ROUND(ABS(MROUND(S97,10)- 110000)*0.1,0),  IF(AND(MROUND(S97,10)&gt; 150000, MROUND(S97,10)&lt;= 250000),  ROUND(4000+ ABS(MROUND(S97,10)- 150000)*0.2,0),   IF(MROUND(S97,10)&gt; 250000,   ROUND(24000+ABS(MROUND(S97,10)- 250000)*0.3,0),0)))),IF(AND(B97="2007-2008",$U$22="Female"), IF(MROUND(S97,10)&lt;= 145000, 0, IF(AND(MROUND(S97,10)&gt; 145000, MROUND(S97,10)&lt;= 150000),     ROUND(ABS(MROUND(S97,10)- 145000)*0.1,0),  IF(AND(MROUND(S97,10)&gt; 150000, MROUND(S97,10)&lt;= 250000),  ROUND(500+ ABS(MROUND(S97,10)- 150000)*0.2,0),  IF(MROUND(S97,10)&gt; 250000, ROUND(20500+ABS(MROUND(S97,10)- 250000)*0.3,0),0)))), IF(AND(B97="2008-2009",$U$22&lt;&gt;"Female"), IF(MROUND(S97,10)&lt;= 150000, 0, IF(AND(MROUND(S97,10)&gt; 150000, MROUND(S97,10)&lt;= 300000), ROUND(ABS(MROUND(S97,10)- 150000)*0.1,0), IF(AND(MROUND(S97,10)&gt; 300000, MROUND(S97,10)&lt;= 500000),  ROUND(15000+ ABS(MROUND(S97,10)- 300000)*0.2,0),  IF(MROUND(S97,10)&gt; 500000,  ROUND(55000+ABS(MROUND(S97,10)- 500000)*0.3,0),0)))), IF(AND(B97="2008-2009",$U$22="Female"), IF(MROUND(S97,10)&lt;= 180000, 0, IF(AND(MROUND(S97,10)&gt; 180000, MROUND(S97,10)&lt;= 300000), ROUND(ABS(MROUND(S97,10)- 180000)*0.1,0), IF(AND(MROUND(S97,10)&gt; 300000, MROUND(S97,10)&lt;= 500000), ROUND(12000+ ABS(MROUND(S97,10)- 300000)*0.2,0),  IF(MROUND(S97,10)&gt; 500000,  ROUND(52000+ABS(MROUND(S97,10)- 500000)*0.3,0),0)))), IF(AND(B97="2009-2010", $U$22&lt;&gt;"Female"), IF(MROUND(S97,10)&lt;= 160000, 0, IF(AND(MROUND(S97,10)&gt; 160000, MROUND(S97,10)&lt;= 300000),ROUND(ABS(MROUND(S97,10)- 160000)*0.1,0), IF(AND(MROUND(S97,10)&gt; 300000, MROUND(S97,10)&lt;= 500000),ROUND(14000+ ABS(MROUND(S97,10)- 300000)*0.2,0),  IF(MROUND(S97,10)&gt; 500000, ROUND(54000+ABS(MROUND(S97,10)- 500000)*0.3,0),0)))),IF(AND(B97="2009-2010",$U$22="Female"), IF(MROUND(S97,10)&lt;= 190000, 0, IF(AND(MROUND(S97,10)&gt; 190000, MROUND(S97,10)&lt;= 300000),ROUND(ABS(MROUND(S97,10)- 190000)*0.1,0), IF(AND(MROUND(S97,10)&gt; 300000, MROUND(S97,10)&lt;= 500000), ROUND(11000+ ABS(MROUND(S97,10)- 300000)*0.2,0),IF(MROUND(S97,10)&gt; 500000,  ROUND(51000+ABS(MROUND(S97,10)- 500000)*0.3,0),0)))), IF(AND(B97="2010-2011",$U$22&lt;&gt;"Female"), IF(MROUND(S97,10)&lt;= 160000, 0, IF(AND(MROUND(S97,10)&gt; 160000, MROUND(S97,10)&lt;= 500000), ROUND(ABS(MROUND(S97,10)- 160000)*0.1,0), IF(AND(MROUND(S97,10)&gt; 500000, MROUND(S97,10)&lt;= 800000), ROUND(34000+ ABS(MROUND(S97,10)- 500000)*0.2,0),  IF(MROUND(S97,10)&gt; 800000,  ROUND(94000+ABS(MROUND(S97,10)- 800000)*0.3,0),0)))), IF(AND(OR(B97="2010-2011",B97="2011-2012"),$U$22="Female"), IF(MROUND(S97,10)&lt;= 190000, 0, IF(AND(MROUND(S97,10)&gt; 190000, MROUND(S97,10)&lt;= 500000), ROUND(ABS(MROUND(S97,10)- 190000)*0.1,0), IF(AND(MROUND(S97,10)&gt; 500000, MROUND(S97,10)&lt;= 800000),  ROUND(31000+ ABS(MROUND(S97,10)- 500000)*0.2,0),  IF(MROUND(S97,10)&gt; 800000,  ROUND(91000+ABS(MROUND(S97,10)- 800000)*0.3,0),0)))), IF(AND(B97="2011-2012", $U$22&lt;&gt;"Female"), IF(MROUND(S97,10)&lt;= 180000, 0, IF(AND(MROUND(S97,10)&gt; 180000, MROUND(S97,10)&lt;= 500000), ROUND(ABS(MROUND(S97,10)- 180000)*0.1,0), IF(AND(MROUND(S97,10)&gt; 500000, MROUND(S97,10)&lt;= 800000),  ROUND(32000+ ABS(MROUND(S97,10)- 500000)*0.2,0),  IF(MROUND(S97,10)&gt; 800000,  ROUND(92000+ABS(MROUND(S97,10)- 800000)*0.3,0),0)))), IF(OR(B97="2012-2013",B97="2013-2014"), IF(MROUND(S97,10)&lt;= 200000, 0, IF(AND(MROUND(S97,10)&gt; 200000, MROUND(S97,10)&lt;= 500000), ROUND(ABS(MROUND(S97,10)- 200000)*0.1,0), IF(AND(MROUND(S97,10)&gt; 500000, MROUND(S97,10)&lt;= 1000000),  ROUND(30000+ ABS(MROUND(S97,10)- 500000)*0.2,0),  IF(MROUND(S97,10)&gt; 1000000,  ROUND(130000+ABS(MROUND(S97,10)- 1000000)*0.3,0),0)))), IF(OR(B97="2014-2015", B97="2015-2016",B97="2016-2017"), IF(MROUND(S97,10)&lt;= 250000, 0, IF(AND(MROUND(S97,10)&gt; 250000, MROUND(S97,10)&lt;= 500000), ROUND(ABS(MROUND(S97,10)- 250000)*0.1,0), IF(AND(MROUND(S97,10)&gt; 500000, MROUND(S97,10)&lt;= 1000000),  ROUND(25000+ ABS(MROUND(S97,10)- 500000)*0.2,0),  IF(MROUND(S97,10)&gt; 1000000,  ROUND(125000+ABS(MROUND(S97,10)- 1000000)*0.3,0), 0)))),IF(OR(B97="2017-2018",B97="2018-2019",B97="2019-2020",AND(B97="2020-2021",'Basic Information'!$AG$12="No"),AND(B97="2021-2022",'Basic Information'!$AG$15="No"),AND(B97="2022-2023",'Basic Information'!$AG$18="No"),AND(B97="2023-2024",'Basic Information'!$AG$21="Yes"),AND(B97="2024-2025",'Basic Information'!$AG$24="Yes")), IF(MROUND(S97,10)&lt;= 250000, 0, IF(AND(MROUND(S97,10)&gt; 250000, MROUND(S97,10)&lt;= 500000), ROUND(ABS(MROUND(S97,10)- 250000)*0.05,0), IF(AND(MROUND(S97,10)&gt; 500000, MROUND(S97,10)&lt;= 1000000),  ROUND(12500+ ABS(MROUND(S97,10)- 500000)*0.2,0),  IF(MROUND(S97,10)&gt; 1000000,  ROUND(112500+ABS(MROUND(S97,10)- 1000000)*0.3,0), 0)))),IF(OR(AND(B97="2020-2021",'Basic Information'!$AG$12="Yes"),AND(B97="2021-2022",'Basic Information'!$AG$15="Yes"),AND(B97="2022-2023",'Basic Information'!$AG$18="Yes")), IF(MROUND(S97,10)&lt;= 250000, 0, IF(AND(MROUND(S97,10)&gt; 250000, MROUND(S97,10)&lt;= 500000), ROUND(ABS(MROUND(S97,10)- 250000)*0.05,0), IF(AND(MROUND(S97,10)&gt; 500000, MROUND(S97,10)&lt;= 750000),  ROUND(12500+ ABS(MROUND(S97,10)- 500000)*0.1,0), IF(AND(MROUND(S97,10)&gt; 750000, MROUND(S97,10)&lt;= 1000000),  ROUND(37500+ ABS(MROUND(S97,10)- 750000)*0.15,0),IF(AND(MROUND(S97,10)&gt; 1000000, MROUND(S97,10)&lt;= 1250000),  ROUND(75000+ ABS(MROUND(S97,10)- 1000000)*0.2,0),IF(AND(MROUND(S97,10)&gt; 1250000, MROUND(S97,10)&lt;= 1500000),  ROUND(125000+ ABS(MROUND(S97,10)- 1250000)*0.25,0), IF(MROUND(S97,10)&gt; 1500000,  ROUND(187500+ABS(MROUND(S97,10)- 1500000)*0.3,0), 0))))))),IF(AND(B97="2023-2024",'Basic Information'!$AG$21="No"), IF(MROUND(S97,10)&lt;= 300000, 0, IF(AND(MROUND(S97,10)&gt; 300000, MROUND(S97,10)&lt;= 600000), ROUND(ABS(MROUND(S97,10)- 300000)*0.05,0), IF(AND(MROUND(S97,10)&gt; 600000, MROUND(S97,10)&lt;= 900000),  ROUND(15000+ ABS(MROUND(S97,10)- 600000)*0.1,0), IF(AND(MROUND(S97,10)&gt; 900000, MROUND(S97,10)&lt;= 1200000),  ROUND(45000+ ABS(MROUND(S97,10)- 900000)*0.15,0),IF(AND(MROUND(S97,10)&gt; 1200000, MROUND(S97,10)&lt;= 1500000),  ROUND(90000+ ABS(MROUND(S97,10)- 1200000)*0.2,0), IF(MROUND(S97,10)&gt; 1500000,  ROUND(150000+ABS(MROUND(S97,10)- 1500000)*0.3,0), 0)))))),IF(AND(B97="2024-2025",'Basic Information'!$AG$24="No"), IF(MROUND(S97,10)&lt;= 300000, 0, IF(AND(MROUND(S97,10)&gt; 300000, MROUND(S97,10)&lt;= 700000), ROUND(ABS(MROUND(S97,10)- 300000)*0.05,0), IF(AND(MROUND(S97,10)&gt; 700000, MROUND(S97,10)&lt;= 1000000),  ROUND(20000+ ABS(MROUND(S97,10)- 700000)*0.1,0), IF(AND(MROUND(S97,10)&gt; 1000000, MROUND(S97,10)&lt;= 1200000),  ROUND(50000+ ABS(MROUND(S97,10)- 1000000)*0.15,0),IF(AND(MROUND(S97,10)&gt; 1200000, MROUND(S97,10)&lt;= 1500000),  ROUND(80000+ ABS(MROUND(S97,10)- 1200000)*0.2,0), IF(MROUND(S97,10)&gt; 1500000,  ROUND(140000+ABS(MROUND(S97,10)- 1500000)*0.3,0), 0)))))),0)))))))))))))))))</f>
        <v>0</v>
      </c>
      <c r="AY97" s="6">
        <f>IF(OR(B97="2013-2014",B97="2014-2015",B97="2015-2016"),IF(AND(MROUND(S97,10)&lt;=500000,MROUND(S97,10)&lt;&gt;0),IF(AX97&lt;=2000, AX97,2000),0), IF(B97="2016-2017",IF(AND(MROUND(S97,10)&lt;=500000, MROUND(S97,10)&lt;&gt;0),IF(AX97&lt;=5000, AX97,5000),0), IF(OR(B97="2017-2018",B97="2018-2019"),IF(AND(MROUND(S97,10)&lt;=350000,MROUND(S97,10)&lt;&gt;0),IF(AX97&lt;=2500, AX97,2500),0), IF(OR(B97="2019-2020",B97="2020-2021",B97="2021-2022",B97="2022-2023",AND(B97="2023-2024",'Basic Information'!$AG$21="Yes"),AND(B97="2024-2025",'Basic Information'!$AG$24="Yes")),IF(AND(MROUND(S97,10)&lt;=500000,MROUND(S97,10)&lt;&gt;0),IF(AX97&lt;=12500, AX97,12500),0), IF(OR(AND(B97="2023-2024",'Basic Information'!$AG$21="No")),IF(AND(MROUND(S97,10)&lt;=700000,MROUND(S97,10)&lt;&gt;0),IF(AX97&lt;=25000, AX97,25000),IF(AND(MROUND(S97,10)&lt;&gt;0,(MROUND(S97,10)-700000)&lt;= AX97), AX97-(MROUND(S97,10)-700000),0)), IF(OR(AND(B97="2024-2025",'Basic Information'!$AG$24="No")),IF(AND(MROUND(S97,10)&lt;=700000,MROUND(S97,10)&lt;&gt;0),IF(AX97&lt;=20000, AX97,20000),IF(AND(MROUND(S97,10)&lt;&gt;0,(MROUND(S97,10)-700000)&lt;= AX97), AX97-(MROUND(S97,10)-700000),0)),0))))))</f>
        <v>0</v>
      </c>
      <c r="AZ97" s="6">
        <f t="shared" si="7"/>
        <v>0</v>
      </c>
      <c r="BA97" s="6">
        <f t="shared" si="8"/>
        <v>0</v>
      </c>
    </row>
    <row r="98" spans="2:53" x14ac:dyDescent="0.3">
      <c r="B98" s="545" t="str">
        <f>IF(ISBLANK('Form 10E - Old Scheme'!B98),"",'Form 10E - Old Scheme'!B98)</f>
        <v/>
      </c>
      <c r="C98" s="546"/>
      <c r="D98" s="546"/>
      <c r="E98" s="546"/>
      <c r="F98" s="547"/>
      <c r="G98" s="458">
        <f>IF(ISNUMBER('Form 10E - Old Scheme'!G98),'Form 10E - Old Scheme'!G98,0)</f>
        <v>0</v>
      </c>
      <c r="H98" s="459"/>
      <c r="I98" s="459"/>
      <c r="J98" s="459"/>
      <c r="K98" s="459"/>
      <c r="L98" s="460"/>
      <c r="M98" s="458">
        <f>IF(ISNUMBER('Form 10E - Old Scheme'!M98),'Form 10E - Old Scheme'!M98,0)</f>
        <v>0</v>
      </c>
      <c r="N98" s="459"/>
      <c r="O98" s="459"/>
      <c r="P98" s="459"/>
      <c r="Q98" s="459"/>
      <c r="R98" s="460"/>
      <c r="S98" s="458">
        <f t="shared" si="2"/>
        <v>0</v>
      </c>
      <c r="T98" s="459"/>
      <c r="U98" s="459"/>
      <c r="V98" s="459"/>
      <c r="W98" s="459"/>
      <c r="X98" s="460"/>
      <c r="Y98" s="458">
        <f t="shared" si="3"/>
        <v>0</v>
      </c>
      <c r="Z98" s="459"/>
      <c r="AA98" s="459"/>
      <c r="AB98" s="459"/>
      <c r="AC98" s="459"/>
      <c r="AD98" s="460"/>
      <c r="AE98" s="458">
        <f t="shared" si="4"/>
        <v>0</v>
      </c>
      <c r="AF98" s="459"/>
      <c r="AG98" s="459"/>
      <c r="AH98" s="459"/>
      <c r="AI98" s="459"/>
      <c r="AJ98" s="461"/>
      <c r="AK98" s="462">
        <f t="shared" si="0"/>
        <v>0</v>
      </c>
      <c r="AL98" s="463"/>
      <c r="AM98" s="463"/>
      <c r="AN98" s="463"/>
      <c r="AO98" s="463"/>
      <c r="AP98" s="464"/>
      <c r="AQ98" s="36" t="str">
        <f t="shared" si="9"/>
        <v/>
      </c>
      <c r="AT98" s="6">
        <f>IF( AND(OR(B98="2005-2006",B98="2006-2007"),$U$22&lt;&gt;"Female"),IF( MROUND(G98,10)&lt;= 100000, 0, IF(AND(MROUND(G98,10)&gt; 100000,MROUND(G98,10)&lt;= 150000),  ROUND(ABS(MROUND(G98,10)- 100000)*0.1,0), IF(AND(MROUND(G98,10)&gt; 150000, MROUND(G98,10)&lt;= 250000), ROUND(5000+ ABS(MROUND(G98,10)- 150000)*0.2,0),IF(MROUND(G98,10)&gt; 250000,  ROUND(25000+ABS(MROUND(G98,10)- 250000)*0.3,0),  0)))),IF(AND(OR(B98="2005-2006",B98="2006-2007"),$U$22="Female"),IF(MROUND(G98,10)&lt;= 135000, 0, IF(AND(MROUND(G98,10)&gt; 135000, MROUND(G98,10)&lt;= 150000), ROUND(ABS(MROUND(G98,10)- 135000)*0.1,0), IF(AND(MROUND(G98,10)&gt; 150000, MROUND(G98,10)&lt;= 250000), ROUND(1500+ ABS(MROUND(G98,10)- 150000)*0.2,0),  IF(MROUND(G98,10)&gt; 250000, ROUND(21500+ABS(MROUND(G98,10)- 250000)*0.3,0),0)))),IF(AND(B98="2007-2008",$U$22&lt;&gt;"Female"), IF(MROUND(G98,10)&lt;= 110000,  0,  IF(AND(MROUND(G98,10)&gt; 110000, MROUND(G98,10)&lt;= 150000), ROUND(ABS(MROUND(G98,10)- 110000)*0.1,0),  IF(AND(MROUND(G98,10)&gt; 150000, MROUND(G98,10)&lt;= 250000),  ROUND(4000+ ABS(MROUND(G98,10)- 150000)*0.2,0),   IF(MROUND(G98,10)&gt; 250000,   ROUND(24000+ABS(MROUND(G98,10)- 250000)*0.3,0),0)))),IF(AND(B98="2007-2008",$U$22="Female"), IF(MROUND(G98,10)&lt;= 145000, 0, IF(AND(MROUND(G98,10)&gt; 145000, MROUND(G98,10)&lt;= 150000),     ROUND(ABS(MROUND(G98,10)- 145000)*0.1,0),  IF(AND(MROUND(G98,10)&gt; 150000, MROUND(G98,10)&lt;= 250000),  ROUND(500+ ABS(MROUND(G98,10)- 150000)*0.2,0),  IF(MROUND(G98,10)&gt; 250000, ROUND(20500+ABS(MROUND(G98,10)- 250000)*0.3,0),0)))), IF(AND(B98="2008-2009",$U$22&lt;&gt;"Female"), IF(MROUND(G98,10)&lt;= 150000, 0, IF(AND(MROUND(G98,10)&gt; 150000, MROUND(G98,10)&lt;= 300000), ROUND(ABS(MROUND(G98,10)- 150000)*0.1,0), IF(AND(MROUND(G98,10)&gt; 300000, MROUND(G98,10)&lt;= 500000),  ROUND(15000+ ABS(MROUND(G98,10)- 300000)*0.2,0),  IF(MROUND(G98,10)&gt; 500000,  ROUND(55000+ABS(MROUND(G98,10)- 500000)*0.3,0),0)))), IF(AND(B98="2008-2009",$U$22="Female"), IF(MROUND(G98,10)&lt;= 180000, 0, IF(AND(MROUND(G98,10)&gt; 180000, MROUND(G98,10)&lt;= 300000), ROUND(ABS(MROUND(G98,10)- 180000)*0.1,0), IF(AND(MROUND(G98,10)&gt; 300000, MROUND(G98,10)&lt;= 500000), ROUND(12000+ ABS(MROUND(G98,10)- 300000)*0.2,0),  IF(MROUND(G98,10)&gt; 500000,  ROUND(52000+ABS(MROUND(G98,10)- 500000)*0.3,0),0)))), IF(AND(B98="2009-2010", $U$22&lt;&gt;"Female"), IF(MROUND(G98,10)&lt;= 160000, 0, IF(AND(MROUND(G98,10)&gt; 160000, MROUND(G98,10)&lt;= 300000),ROUND(ABS(MROUND(G98,10)- 160000)*0.1,0), IF(AND(MROUND(G98,10)&gt; 300000, MROUND(G98,10)&lt;= 500000),ROUND(14000+ ABS(MROUND(G98,10)- 300000)*0.2,0),  IF(MROUND(G98,10)&gt; 500000, ROUND(54000+ABS(MROUND(G98,10)- 500000)*0.3,0),0)))),IF(AND(B98="2009-2010",$U$22="Female"), IF(MROUND(G98,10)&lt;= 190000, 0, IF(AND(MROUND(G98,10)&gt; 190000, MROUND(G98,10)&lt;= 300000),ROUND(ABS(MROUND(G98,10)- 190000)*0.1,0), IF(AND(MROUND(G98,10)&gt; 300000, MROUND(G98,10)&lt;= 500000), ROUND(11000+ ABS(MROUND(G98,10)- 300000)*0.2,0),IF(MROUND(G98,10)&gt; 500000,  ROUND(51000+ABS(MROUND(G98,10)- 500000)*0.3,0),0)))), IF(AND(B98="2010-2011",$U$22&lt;&gt;"Female"), IF(MROUND(G98,10)&lt;= 160000, 0, IF(AND(MROUND(G98,10)&gt; 160000, MROUND(G98,10)&lt;= 500000), ROUND(ABS(MROUND(G98,10)- 160000)*0.1,0), IF(AND(MROUND(G98,10)&gt; 500000, MROUND(G98,10)&lt;= 800000), ROUND(34000+ ABS(MROUND(G98,10)- 500000)*0.2,0),  IF(MROUND(G98,10)&gt; 800000,  ROUND(94000+ABS(MROUND(G98,10)- 800000)*0.3,0),0)))), IF(AND(OR(B98="2010-2011",B98="2011-2012"),$U$22="Female"), IF(MROUND(G98,10)&lt;= 190000, 0, IF(AND(MROUND(G98,10)&gt; 190000, MROUND(G98,10)&lt;= 500000), ROUND(ABS(MROUND(G98,10)- 190000)*0.1,0), IF(AND(MROUND(G98,10)&gt; 500000, MROUND(G98,10)&lt;= 800000),  ROUND(31000+ ABS(MROUND(G98,10)- 500000)*0.2,0),  IF(MROUND(G98,10)&gt; 800000,  ROUND(91000+ABS(MROUND(G98,10)- 800000)*0.3,0),0)))), IF(AND(B98="2011-2012", $U$22&lt;&gt;"Female"), IF(MROUND(G98,10)&lt;= 180000, 0, IF(AND(MROUND(G98,10)&gt; 180000, MROUND(G98,10)&lt;= 500000), ROUND(ABS(MROUND(G98,10)- 180000)*0.1,0), IF(AND(MROUND(G98,10)&gt; 500000, MROUND(G98,10)&lt;= 800000),  ROUND(32000+ ABS(MROUND(G98,10)- 500000)*0.2,0),  IF(MROUND(G98,10)&gt; 800000,  ROUND(92000+ABS(MROUND(G98,10)- 800000)*0.3,0),0)))), IF(OR(B98="2012-2013",B98="2013-2014"), IF(MROUND(G98,10)&lt;= 200000, 0, IF(AND(MROUND(G98,10)&gt; 200000, MROUND(G98,10)&lt;= 500000), ROUND(ABS(MROUND(G98,10)- 200000)*0.1,0), IF(AND(MROUND(G98,10)&gt; 500000, MROUND(G98,10)&lt;= 1000000),  ROUND(30000+ ABS(MROUND(G98,10)- 500000)*0.2,0),  IF(MROUND(G98,10)&gt; 1000000,  ROUND(130000+ABS(MROUND(G98,10)- 1000000)*0.3,0),0)))), IF(OR(B98="2014-2015", B98="2015-2016",B98="2016-2017"), IF(MROUND(G98,10)&lt;= 250000, 0, IF(AND(MROUND(G98,10)&gt; 250000, MROUND(G98,10)&lt;= 500000), ROUND(ABS(MROUND(G98,10)- 250000)*0.1,0), IF(AND(MROUND(G98,10)&gt; 500000, MROUND(G98,10)&lt;= 1000000),  ROUND(25000+ ABS(MROUND(G98,10)- 500000)*0.2,0),  IF(MROUND(G98,10)&gt; 1000000,  ROUND(125000+ABS(MROUND(G98,10)- 1000000)*0.3,0), 0)))), IF(OR(B98="2017-2018",B98="2018-2019",B98="2019-2020",AND(B98="2020-2021",'Basic Information'!$AG$12="No"),AND(B98="2021-2022",'Basic Information'!$AG$15="No"),AND(B98="2022-2023",'Basic Information'!$AG$18="No"),AND(B98="2023-2024",'Basic Information'!$AG$21="Yes"),AND(B98="2024-2025",'Basic Information'!$AG$24="Yes")), IF(MROUND(G98,10)&lt;= 250000, 0, IF(AND(MROUND(G98,10)&gt; 250000, MROUND(G98,10)&lt;= 500000), ROUND(ABS(MROUND(G98,10)- 250000)*0.05,0), IF(AND(MROUND(G98,10)&gt; 500000, MROUND(G98,10)&lt;= 1000000),  ROUND(12500+ ABS(MROUND(G98,10)- 500000)*0.2,0),  IF(MROUND(G98,10)&gt; 1000000,  ROUND(112500+ABS(MROUND(G98,10)- 1000000)*0.3,0), 0)))),IF(OR(AND(B98="2020-2021",'Basic Information'!$AG$12="Yes"),AND(B98="2021-2022",'Basic Information'!$AG$15="Yes"),AND(B98="2022-2023",'Basic Information'!$AG$18="Yes")), IF(MROUND(G98,10)&lt;= 250000, 0, IF(AND(MROUND(G98,10)&gt; 250000, MROUND(G98,10)&lt;= 500000), ROUND(ABS(MROUND(G98,10)- 250000)*0.05,0), IF(AND(MROUND(G98,10)&gt; 500000, MROUND(G98,10)&lt;= 750000),  ROUND(12500+ ABS(MROUND(G98,10)- 500000)*0.1,0), IF(AND(MROUND(G98,10)&gt; 750000, MROUND(G98,10)&lt;= 1000000),  ROUND(37500+ ABS(MROUND(G98,10)- 750000)*0.15,0),IF(AND(MROUND(G98,10)&gt; 1000000, MROUND(G98,10)&lt;= 1250000),  ROUND(75000+ ABS(MROUND(G98,10)- 1000000)*0.2,0),IF(AND(MROUND(G98,10)&gt; 1250000, MROUND(G98,10)&lt;= 1500000),  ROUND(125000+ ABS(MROUND(G98,10)- 1250000)*0.25,0), IF(MROUND(G98,10)&gt; 1500000,  ROUND(187500+ABS(MROUND(G98,10)- 1500000)*0.3,0), 0))))))),IF(AND(B98="2023-2024",'Basic Information'!$AG$21="No"), IF(MROUND(G98,10)&lt;= 300000, 0, IF(AND(MROUND(G98,10)&gt; 300000, MROUND(G98,10)&lt;= 600000), ROUND(ABS(MROUND(G98,10)- 300000)*0.05,0), IF(AND(MROUND(G98,10)&gt; 600000, MROUND(G98,10)&lt;= 900000),  ROUND(15000+ ABS(MROUND(G98,10)- 600000)*0.1,0), IF(AND(MROUND(G98,10)&gt; 900000, MROUND(G98,10)&lt;= 1200000),  ROUND(45000+ ABS(MROUND(G98,10)- 900000)*0.15,0),IF(AND(MROUND(G98,10)&gt; 1200000, MROUND(G98,10)&lt;= 1500000),  ROUND(90000+ ABS(MROUND(G98,10)- 1200000)*0.2,0), IF(MROUND(G98,10)&gt; 1500000,  ROUND(150000+ABS(MROUND(G98,10)- 1500000)*0.3,0), 0)))))),IF(AND(B98="2024-2025",'Basic Information'!$AG$24="No"), IF(MROUND(G98,10)&lt;= 300000, 0, IF(AND(MROUND(G98,10)&gt; 300000, MROUND(G98,10)&lt;= 700000), ROUND(ABS(MROUND(G98,10)- 300000)*0.05,0), IF(AND(MROUND(G98,10)&gt; 700000, MROUND(G98,10)&lt;= 1000000),  ROUND(20000+ ABS(MROUND(G98,10)- 700000)*0.1,0), IF(AND(MROUND(G98,10)&gt; 1000000, MROUND(G98,10)&lt;= 1200000),  ROUND(50000+ ABS(MROUND(G98,10)- 1000000)*0.15,0),IF(AND(MROUND(G98,10)&gt; 1200000, MROUND(G98,10)&lt;= 1500000),  ROUND(80000+ ABS(MROUND(G98,10)- 1200000)*0.2,0), IF(MROUND(G98,10)&gt; 1500000,  ROUND(140000+ABS(MROUND(G98,10)- 1500000)*0.3,0), 0)))))),0)))))))))))))))))</f>
        <v>0</v>
      </c>
      <c r="AU98" s="6">
        <f>IF(OR(B98="2013-2014",B98="2014-2015",B98="2015-2016"),IF(AND(MROUND(G98,10)&lt;=500000,MROUND(G98,10)&lt;&gt;0),IF(AT98&lt;=2000, AT98,2000),0), IF(B98="2016-2017",IF(AND(MROUND(G98,10)&lt;=500000,MROUND(G98,10)&lt;&gt;0),IF(AT98&lt;=5000, AT98,5000),0), IF(OR(B98="2017-2018",B98="2018-2019"),IF(AND(MROUND(G98,10)&lt;=350000,MROUND(G98,10)&lt;&gt;0),IF(AT98&lt;=2500, AT98,2500),0), IF(OR(B98="2019-2020",B98="2020-2021",B98="2021-2022",B98="2022-2023",AND(B98="2023-2024",'Basic Information'!$AG$21="Yes"),AND(B98="2024-2025",'Basic Information'!$AG$24="Yes")),IF(AND(MROUND(G98,10)&lt;=500000,MROUND(G98,10)&lt;&gt;0),IF(AT98&lt;=12500, AT98,12500),0), IF(OR(AND(B98="2023-2024",'Basic Information'!$AG$21="No")),IF(AND(MROUND(G98,10)&lt;=700000,MROUND(G98,10)&lt;&gt;0),IF(AT98&lt;=25000, AT98,25000),IF(AND(MROUND(G98,10)&lt;&gt;0,(MROUND(G98,10)-700000)&lt;=AT98),AT98-(MROUND(G98,10)-700000),0)), IF(OR(AND(B98="2024-2025",'Basic Information'!$AG$24="No")),IF(AND(MROUND(G98,10)&lt;=700000,MROUND(G98,10)&lt;&gt;0),IF(AT98&lt;=20000, AT98,20000),IF(AND(MROUND(G98,10)&lt;&gt;0,(MROUND(G98,10)-700000)&lt;=AT98),AT98-(MROUND(G98,10)-700000),0)),0))))))</f>
        <v>0</v>
      </c>
      <c r="AV98" s="6">
        <f t="shared" si="5"/>
        <v>0</v>
      </c>
      <c r="AW98" s="6">
        <f t="shared" si="6"/>
        <v>0</v>
      </c>
      <c r="AX98" s="6">
        <f>IF( AND(OR(B98="2005-2006",B98="2006-2007"),$U$22&lt;&gt;"Female"),IF( MROUND(S98,10)&lt;= 100000, 0, IF(AND(MROUND(S98,10)&gt; 100000,MROUND(S98,10)&lt;= 150000),  ROUND(ABS(MROUND(S98,10)- 100000)*0.1,0), IF(AND(MROUND(S98,10)&gt; 150000, MROUND(S98,10)&lt;= 250000), ROUND(5000+ ABS(MROUND(S98,10)- 150000)*0.2,0),IF(MROUND(S98,10)&gt; 250000,  ROUND(25000+ABS(MROUND(S98,10)- 250000)*0.3,0),  0)))),IF(AND(OR(B98="2005-2006",B98="2006-2007"),$U$22="Female"),IF(MROUND(S98,10)&lt;= 135000, 0, IF(AND(MROUND(S98,10)&gt; 135000, MROUND(S98,10)&lt;= 150000), ROUND(ABS(MROUND(S98,10)- 135000)*0.1,0), IF(AND(MROUND(S98,10)&gt; 150000, MROUND(S98,10)&lt;= 250000), ROUND(1500+ ABS(MROUND(S98,10)- 150000)*0.2,0),  IF(MROUND(S98,10)&gt; 250000, ROUND(21500+ABS(MROUND(S98,10)- 250000)*0.3,0),0)))),IF(AND(B98="2007-2008",$U$22&lt;&gt;"Female"), IF(MROUND(S98,10)&lt;= 110000,  0,  IF(AND(MROUND(S98,10)&gt; 110000, MROUND(S98,10)&lt;= 150000),     ROUND(ABS(MROUND(S98,10)- 110000)*0.1,0),  IF(AND(MROUND(S98,10)&gt; 150000, MROUND(S98,10)&lt;= 250000),  ROUND(4000+ ABS(MROUND(S98,10)- 150000)*0.2,0),   IF(MROUND(S98,10)&gt; 250000,   ROUND(24000+ABS(MROUND(S98,10)- 250000)*0.3,0),0)))),IF(AND(B98="2007-2008",$U$22="Female"), IF(MROUND(S98,10)&lt;= 145000, 0, IF(AND(MROUND(S98,10)&gt; 145000, MROUND(S98,10)&lt;= 150000),     ROUND(ABS(MROUND(S98,10)- 145000)*0.1,0),  IF(AND(MROUND(S98,10)&gt; 150000, MROUND(S98,10)&lt;= 250000),  ROUND(500+ ABS(MROUND(S98,10)- 150000)*0.2,0),  IF(MROUND(S98,10)&gt; 250000, ROUND(20500+ABS(MROUND(S98,10)- 250000)*0.3,0),0)))), IF(AND(B98="2008-2009",$U$22&lt;&gt;"Female"), IF(MROUND(S98,10)&lt;= 150000, 0, IF(AND(MROUND(S98,10)&gt; 150000, MROUND(S98,10)&lt;= 300000), ROUND(ABS(MROUND(S98,10)- 150000)*0.1,0), IF(AND(MROUND(S98,10)&gt; 300000, MROUND(S98,10)&lt;= 500000),  ROUND(15000+ ABS(MROUND(S98,10)- 300000)*0.2,0),  IF(MROUND(S98,10)&gt; 500000,  ROUND(55000+ABS(MROUND(S98,10)- 500000)*0.3,0),0)))), IF(AND(B98="2008-2009",$U$22="Female"), IF(MROUND(S98,10)&lt;= 180000, 0, IF(AND(MROUND(S98,10)&gt; 180000, MROUND(S98,10)&lt;= 300000), ROUND(ABS(MROUND(S98,10)- 180000)*0.1,0), IF(AND(MROUND(S98,10)&gt; 300000, MROUND(S98,10)&lt;= 500000), ROUND(12000+ ABS(MROUND(S98,10)- 300000)*0.2,0),  IF(MROUND(S98,10)&gt; 500000,  ROUND(52000+ABS(MROUND(S98,10)- 500000)*0.3,0),0)))), IF(AND(B98="2009-2010", $U$22&lt;&gt;"Female"), IF(MROUND(S98,10)&lt;= 160000, 0, IF(AND(MROUND(S98,10)&gt; 160000, MROUND(S98,10)&lt;= 300000),ROUND(ABS(MROUND(S98,10)- 160000)*0.1,0), IF(AND(MROUND(S98,10)&gt; 300000, MROUND(S98,10)&lt;= 500000),ROUND(14000+ ABS(MROUND(S98,10)- 300000)*0.2,0),  IF(MROUND(S98,10)&gt; 500000, ROUND(54000+ABS(MROUND(S98,10)- 500000)*0.3,0),0)))),IF(AND(B98="2009-2010",$U$22="Female"), IF(MROUND(S98,10)&lt;= 190000, 0, IF(AND(MROUND(S98,10)&gt; 190000, MROUND(S98,10)&lt;= 300000),ROUND(ABS(MROUND(S98,10)- 190000)*0.1,0), IF(AND(MROUND(S98,10)&gt; 300000, MROUND(S98,10)&lt;= 500000), ROUND(11000+ ABS(MROUND(S98,10)- 300000)*0.2,0),IF(MROUND(S98,10)&gt; 500000,  ROUND(51000+ABS(MROUND(S98,10)- 500000)*0.3,0),0)))), IF(AND(B98="2010-2011",$U$22&lt;&gt;"Female"), IF(MROUND(S98,10)&lt;= 160000, 0, IF(AND(MROUND(S98,10)&gt; 160000, MROUND(S98,10)&lt;= 500000), ROUND(ABS(MROUND(S98,10)- 160000)*0.1,0), IF(AND(MROUND(S98,10)&gt; 500000, MROUND(S98,10)&lt;= 800000), ROUND(34000+ ABS(MROUND(S98,10)- 500000)*0.2,0),  IF(MROUND(S98,10)&gt; 800000,  ROUND(94000+ABS(MROUND(S98,10)- 800000)*0.3,0),0)))), IF(AND(OR(B98="2010-2011",B98="2011-2012"),$U$22="Female"), IF(MROUND(S98,10)&lt;= 190000, 0, IF(AND(MROUND(S98,10)&gt; 190000, MROUND(S98,10)&lt;= 500000), ROUND(ABS(MROUND(S98,10)- 190000)*0.1,0), IF(AND(MROUND(S98,10)&gt; 500000, MROUND(S98,10)&lt;= 800000),  ROUND(31000+ ABS(MROUND(S98,10)- 500000)*0.2,0),  IF(MROUND(S98,10)&gt; 800000,  ROUND(91000+ABS(MROUND(S98,10)- 800000)*0.3,0),0)))), IF(AND(B98="2011-2012", $U$22&lt;&gt;"Female"), IF(MROUND(S98,10)&lt;= 180000, 0, IF(AND(MROUND(S98,10)&gt; 180000, MROUND(S98,10)&lt;= 500000), ROUND(ABS(MROUND(S98,10)- 180000)*0.1,0), IF(AND(MROUND(S98,10)&gt; 500000, MROUND(S98,10)&lt;= 800000),  ROUND(32000+ ABS(MROUND(S98,10)- 500000)*0.2,0),  IF(MROUND(S98,10)&gt; 800000,  ROUND(92000+ABS(MROUND(S98,10)- 800000)*0.3,0),0)))), IF(OR(B98="2012-2013",B98="2013-2014"), IF(MROUND(S98,10)&lt;= 200000, 0, IF(AND(MROUND(S98,10)&gt; 200000, MROUND(S98,10)&lt;= 500000), ROUND(ABS(MROUND(S98,10)- 200000)*0.1,0), IF(AND(MROUND(S98,10)&gt; 500000, MROUND(S98,10)&lt;= 1000000),  ROUND(30000+ ABS(MROUND(S98,10)- 500000)*0.2,0),  IF(MROUND(S98,10)&gt; 1000000,  ROUND(130000+ABS(MROUND(S98,10)- 1000000)*0.3,0),0)))), IF(OR(B98="2014-2015", B98="2015-2016",B98="2016-2017"), IF(MROUND(S98,10)&lt;= 250000, 0, IF(AND(MROUND(S98,10)&gt; 250000, MROUND(S98,10)&lt;= 500000), ROUND(ABS(MROUND(S98,10)- 250000)*0.1,0), IF(AND(MROUND(S98,10)&gt; 500000, MROUND(S98,10)&lt;= 1000000),  ROUND(25000+ ABS(MROUND(S98,10)- 500000)*0.2,0),  IF(MROUND(S98,10)&gt; 1000000,  ROUND(125000+ABS(MROUND(S98,10)- 1000000)*0.3,0), 0)))),IF(OR(B98="2017-2018",B98="2018-2019",B98="2019-2020",AND(B98="2020-2021",'Basic Information'!$AG$12="No"),AND(B98="2021-2022",'Basic Information'!$AG$15="No"),AND(B98="2022-2023",'Basic Information'!$AG$18="No"),AND(B98="2023-2024",'Basic Information'!$AG$21="Yes"),AND(B98="2024-2025",'Basic Information'!$AG$24="Yes")), IF(MROUND(S98,10)&lt;= 250000, 0, IF(AND(MROUND(S98,10)&gt; 250000, MROUND(S98,10)&lt;= 500000), ROUND(ABS(MROUND(S98,10)- 250000)*0.05,0), IF(AND(MROUND(S98,10)&gt; 500000, MROUND(S98,10)&lt;= 1000000),  ROUND(12500+ ABS(MROUND(S98,10)- 500000)*0.2,0),  IF(MROUND(S98,10)&gt; 1000000,  ROUND(112500+ABS(MROUND(S98,10)- 1000000)*0.3,0), 0)))),IF(OR(AND(B98="2020-2021",'Basic Information'!$AG$12="Yes"),AND(B98="2021-2022",'Basic Information'!$AG$15="Yes"),AND(B98="2022-2023",'Basic Information'!$AG$18="Yes")), IF(MROUND(S98,10)&lt;= 250000, 0, IF(AND(MROUND(S98,10)&gt; 250000, MROUND(S98,10)&lt;= 500000), ROUND(ABS(MROUND(S98,10)- 250000)*0.05,0), IF(AND(MROUND(S98,10)&gt; 500000, MROUND(S98,10)&lt;= 750000),  ROUND(12500+ ABS(MROUND(S98,10)- 500000)*0.1,0), IF(AND(MROUND(S98,10)&gt; 750000, MROUND(S98,10)&lt;= 1000000),  ROUND(37500+ ABS(MROUND(S98,10)- 750000)*0.15,0),IF(AND(MROUND(S98,10)&gt; 1000000, MROUND(S98,10)&lt;= 1250000),  ROUND(75000+ ABS(MROUND(S98,10)- 1000000)*0.2,0),IF(AND(MROUND(S98,10)&gt; 1250000, MROUND(S98,10)&lt;= 1500000),  ROUND(125000+ ABS(MROUND(S98,10)- 1250000)*0.25,0), IF(MROUND(S98,10)&gt; 1500000,  ROUND(187500+ABS(MROUND(S98,10)- 1500000)*0.3,0), 0))))))),IF(AND(B98="2023-2024",'Basic Information'!$AG$21="No"), IF(MROUND(S98,10)&lt;= 300000, 0, IF(AND(MROUND(S98,10)&gt; 300000, MROUND(S98,10)&lt;= 600000), ROUND(ABS(MROUND(S98,10)- 300000)*0.05,0), IF(AND(MROUND(S98,10)&gt; 600000, MROUND(S98,10)&lt;= 900000),  ROUND(15000+ ABS(MROUND(S98,10)- 600000)*0.1,0), IF(AND(MROUND(S98,10)&gt; 900000, MROUND(S98,10)&lt;= 1200000),  ROUND(45000+ ABS(MROUND(S98,10)- 900000)*0.15,0),IF(AND(MROUND(S98,10)&gt; 1200000, MROUND(S98,10)&lt;= 1500000),  ROUND(90000+ ABS(MROUND(S98,10)- 1200000)*0.2,0), IF(MROUND(S98,10)&gt; 1500000,  ROUND(150000+ABS(MROUND(S98,10)- 1500000)*0.3,0), 0)))))),IF(AND(B98="2024-2025",'Basic Information'!$AG$24="No"), IF(MROUND(S98,10)&lt;= 300000, 0, IF(AND(MROUND(S98,10)&gt; 300000, MROUND(S98,10)&lt;= 700000), ROUND(ABS(MROUND(S98,10)- 300000)*0.05,0), IF(AND(MROUND(S98,10)&gt; 700000, MROUND(S98,10)&lt;= 1000000),  ROUND(20000+ ABS(MROUND(S98,10)- 700000)*0.1,0), IF(AND(MROUND(S98,10)&gt; 1000000, MROUND(S98,10)&lt;= 1200000),  ROUND(50000+ ABS(MROUND(S98,10)- 1000000)*0.15,0),IF(AND(MROUND(S98,10)&gt; 1200000, MROUND(S98,10)&lt;= 1500000),  ROUND(80000+ ABS(MROUND(S98,10)- 1200000)*0.2,0), IF(MROUND(S98,10)&gt; 1500000,  ROUND(140000+ABS(MROUND(S98,10)- 1500000)*0.3,0), 0)))))),0)))))))))))))))))</f>
        <v>0</v>
      </c>
      <c r="AY98" s="6">
        <f>IF(OR(B98="2013-2014",B98="2014-2015",B98="2015-2016"),IF(AND(MROUND(S98,10)&lt;=500000,MROUND(S98,10)&lt;&gt;0),IF(AX98&lt;=2000, AX98,2000),0), IF(B98="2016-2017",IF(AND(MROUND(S98,10)&lt;=500000, MROUND(S98,10)&lt;&gt;0),IF(AX98&lt;=5000, AX98,5000),0), IF(OR(B98="2017-2018",B98="2018-2019"),IF(AND(MROUND(S98,10)&lt;=350000,MROUND(S98,10)&lt;&gt;0),IF(AX98&lt;=2500, AX98,2500),0), IF(OR(B98="2019-2020",B98="2020-2021",B98="2021-2022",B98="2022-2023",AND(B98="2023-2024",'Basic Information'!$AG$21="Yes"),AND(B98="2024-2025",'Basic Information'!$AG$24="Yes")),IF(AND(MROUND(S98,10)&lt;=500000,MROUND(S98,10)&lt;&gt;0),IF(AX98&lt;=12500, AX98,12500),0), IF(OR(AND(B98="2023-2024",'Basic Information'!$AG$21="No")),IF(AND(MROUND(S98,10)&lt;=700000,MROUND(S98,10)&lt;&gt;0),IF(AX98&lt;=25000, AX98,25000),IF(AND(MROUND(S98,10)&lt;&gt;0,(MROUND(S98,10)-700000)&lt;= AX98), AX98-(MROUND(S98,10)-700000),0)), IF(OR(AND(B98="2024-2025",'Basic Information'!$AG$24="No")),IF(AND(MROUND(S98,10)&lt;=700000,MROUND(S98,10)&lt;&gt;0),IF(AX98&lt;=20000, AX98,20000),IF(AND(MROUND(S98,10)&lt;&gt;0,(MROUND(S98,10)-700000)&lt;= AX98), AX98-(MROUND(S98,10)-700000),0)),0))))))</f>
        <v>0</v>
      </c>
      <c r="AZ98" s="6">
        <f t="shared" si="7"/>
        <v>0</v>
      </c>
      <c r="BA98" s="6">
        <f t="shared" si="8"/>
        <v>0</v>
      </c>
    </row>
    <row r="99" spans="2:53" x14ac:dyDescent="0.3">
      <c r="B99" s="545" t="str">
        <f>IF(ISBLANK('Form 10E - Old Scheme'!B99),"",'Form 10E - Old Scheme'!B99)</f>
        <v/>
      </c>
      <c r="C99" s="546"/>
      <c r="D99" s="546"/>
      <c r="E99" s="546"/>
      <c r="F99" s="547"/>
      <c r="G99" s="458">
        <f>IF(ISNUMBER('Form 10E - Old Scheme'!G99),'Form 10E - Old Scheme'!G99,0)</f>
        <v>0</v>
      </c>
      <c r="H99" s="459"/>
      <c r="I99" s="459"/>
      <c r="J99" s="459"/>
      <c r="K99" s="459"/>
      <c r="L99" s="460"/>
      <c r="M99" s="458">
        <f>IF(ISNUMBER('Form 10E - Old Scheme'!M99),'Form 10E - Old Scheme'!M99,0)</f>
        <v>0</v>
      </c>
      <c r="N99" s="459"/>
      <c r="O99" s="459"/>
      <c r="P99" s="459"/>
      <c r="Q99" s="459"/>
      <c r="R99" s="460"/>
      <c r="S99" s="458">
        <f t="shared" si="2"/>
        <v>0</v>
      </c>
      <c r="T99" s="459"/>
      <c r="U99" s="459"/>
      <c r="V99" s="459"/>
      <c r="W99" s="459"/>
      <c r="X99" s="460"/>
      <c r="Y99" s="458">
        <f t="shared" si="3"/>
        <v>0</v>
      </c>
      <c r="Z99" s="459"/>
      <c r="AA99" s="459"/>
      <c r="AB99" s="459"/>
      <c r="AC99" s="459"/>
      <c r="AD99" s="460"/>
      <c r="AE99" s="458">
        <f t="shared" si="4"/>
        <v>0</v>
      </c>
      <c r="AF99" s="459"/>
      <c r="AG99" s="459"/>
      <c r="AH99" s="459"/>
      <c r="AI99" s="459"/>
      <c r="AJ99" s="461"/>
      <c r="AK99" s="462">
        <f t="shared" si="0"/>
        <v>0</v>
      </c>
      <c r="AL99" s="463"/>
      <c r="AM99" s="463"/>
      <c r="AN99" s="463"/>
      <c r="AO99" s="463"/>
      <c r="AP99" s="464"/>
      <c r="AQ99" s="36" t="str">
        <f t="shared" si="9"/>
        <v/>
      </c>
      <c r="AT99" s="6">
        <f>IF( AND(OR(B99="2005-2006",B99="2006-2007"),$U$22&lt;&gt;"Female"),IF( MROUND(G99,10)&lt;= 100000, 0, IF(AND(MROUND(G99,10)&gt; 100000,MROUND(G99,10)&lt;= 150000),  ROUND(ABS(MROUND(G99,10)- 100000)*0.1,0), IF(AND(MROUND(G99,10)&gt; 150000, MROUND(G99,10)&lt;= 250000), ROUND(5000+ ABS(MROUND(G99,10)- 150000)*0.2,0),IF(MROUND(G99,10)&gt; 250000,  ROUND(25000+ABS(MROUND(G99,10)- 250000)*0.3,0),  0)))),IF(AND(OR(B99="2005-2006",B99="2006-2007"),$U$22="Female"),IF(MROUND(G99,10)&lt;= 135000, 0, IF(AND(MROUND(G99,10)&gt; 135000, MROUND(G99,10)&lt;= 150000), ROUND(ABS(MROUND(G99,10)- 135000)*0.1,0), IF(AND(MROUND(G99,10)&gt; 150000, MROUND(G99,10)&lt;= 250000), ROUND(1500+ ABS(MROUND(G99,10)- 150000)*0.2,0),  IF(MROUND(G99,10)&gt; 250000, ROUND(21500+ABS(MROUND(G99,10)- 250000)*0.3,0),0)))),IF(AND(B99="2007-2008",$U$22&lt;&gt;"Female"), IF(MROUND(G99,10)&lt;= 110000,  0,  IF(AND(MROUND(G99,10)&gt; 110000, MROUND(G99,10)&lt;= 150000), ROUND(ABS(MROUND(G99,10)- 110000)*0.1,0),  IF(AND(MROUND(G99,10)&gt; 150000, MROUND(G99,10)&lt;= 250000),  ROUND(4000+ ABS(MROUND(G99,10)- 150000)*0.2,0),   IF(MROUND(G99,10)&gt; 250000,   ROUND(24000+ABS(MROUND(G99,10)- 250000)*0.3,0),0)))),IF(AND(B99="2007-2008",$U$22="Female"), IF(MROUND(G99,10)&lt;= 145000, 0, IF(AND(MROUND(G99,10)&gt; 145000, MROUND(G99,10)&lt;= 150000),     ROUND(ABS(MROUND(G99,10)- 145000)*0.1,0),  IF(AND(MROUND(G99,10)&gt; 150000, MROUND(G99,10)&lt;= 250000),  ROUND(500+ ABS(MROUND(G99,10)- 150000)*0.2,0),  IF(MROUND(G99,10)&gt; 250000, ROUND(20500+ABS(MROUND(G99,10)- 250000)*0.3,0),0)))), IF(AND(B99="2008-2009",$U$22&lt;&gt;"Female"), IF(MROUND(G99,10)&lt;= 150000, 0, IF(AND(MROUND(G99,10)&gt; 150000, MROUND(G99,10)&lt;= 300000), ROUND(ABS(MROUND(G99,10)- 150000)*0.1,0), IF(AND(MROUND(G99,10)&gt; 300000, MROUND(G99,10)&lt;= 500000),  ROUND(15000+ ABS(MROUND(G99,10)- 300000)*0.2,0),  IF(MROUND(G99,10)&gt; 500000,  ROUND(55000+ABS(MROUND(G99,10)- 500000)*0.3,0),0)))), IF(AND(B99="2008-2009",$U$22="Female"), IF(MROUND(G99,10)&lt;= 180000, 0, IF(AND(MROUND(G99,10)&gt; 180000, MROUND(G99,10)&lt;= 300000), ROUND(ABS(MROUND(G99,10)- 180000)*0.1,0), IF(AND(MROUND(G99,10)&gt; 300000, MROUND(G99,10)&lt;= 500000), ROUND(12000+ ABS(MROUND(G99,10)- 300000)*0.2,0),  IF(MROUND(G99,10)&gt; 500000,  ROUND(52000+ABS(MROUND(G99,10)- 500000)*0.3,0),0)))), IF(AND(B99="2009-2010", $U$22&lt;&gt;"Female"), IF(MROUND(G99,10)&lt;= 160000, 0, IF(AND(MROUND(G99,10)&gt; 160000, MROUND(G99,10)&lt;= 300000),ROUND(ABS(MROUND(G99,10)- 160000)*0.1,0), IF(AND(MROUND(G99,10)&gt; 300000, MROUND(G99,10)&lt;= 500000),ROUND(14000+ ABS(MROUND(G99,10)- 300000)*0.2,0),  IF(MROUND(G99,10)&gt; 500000, ROUND(54000+ABS(MROUND(G99,10)- 500000)*0.3,0),0)))),IF(AND(B99="2009-2010",$U$22="Female"), IF(MROUND(G99,10)&lt;= 190000, 0, IF(AND(MROUND(G99,10)&gt; 190000, MROUND(G99,10)&lt;= 300000),ROUND(ABS(MROUND(G99,10)- 190000)*0.1,0), IF(AND(MROUND(G99,10)&gt; 300000, MROUND(G99,10)&lt;= 500000), ROUND(11000+ ABS(MROUND(G99,10)- 300000)*0.2,0),IF(MROUND(G99,10)&gt; 500000,  ROUND(51000+ABS(MROUND(G99,10)- 500000)*0.3,0),0)))), IF(AND(B99="2010-2011",$U$22&lt;&gt;"Female"), IF(MROUND(G99,10)&lt;= 160000, 0, IF(AND(MROUND(G99,10)&gt; 160000, MROUND(G99,10)&lt;= 500000), ROUND(ABS(MROUND(G99,10)- 160000)*0.1,0), IF(AND(MROUND(G99,10)&gt; 500000, MROUND(G99,10)&lt;= 800000), ROUND(34000+ ABS(MROUND(G99,10)- 500000)*0.2,0),  IF(MROUND(G99,10)&gt; 800000,  ROUND(94000+ABS(MROUND(G99,10)- 800000)*0.3,0),0)))), IF(AND(OR(B99="2010-2011",B99="2011-2012"),$U$22="Female"), IF(MROUND(G99,10)&lt;= 190000, 0, IF(AND(MROUND(G99,10)&gt; 190000, MROUND(G99,10)&lt;= 500000), ROUND(ABS(MROUND(G99,10)- 190000)*0.1,0), IF(AND(MROUND(G99,10)&gt; 500000, MROUND(G99,10)&lt;= 800000),  ROUND(31000+ ABS(MROUND(G99,10)- 500000)*0.2,0),  IF(MROUND(G99,10)&gt; 800000,  ROUND(91000+ABS(MROUND(G99,10)- 800000)*0.3,0),0)))), IF(AND(B99="2011-2012", $U$22&lt;&gt;"Female"), IF(MROUND(G99,10)&lt;= 180000, 0, IF(AND(MROUND(G99,10)&gt; 180000, MROUND(G99,10)&lt;= 500000), ROUND(ABS(MROUND(G99,10)- 180000)*0.1,0), IF(AND(MROUND(G99,10)&gt; 500000, MROUND(G99,10)&lt;= 800000),  ROUND(32000+ ABS(MROUND(G99,10)- 500000)*0.2,0),  IF(MROUND(G99,10)&gt; 800000,  ROUND(92000+ABS(MROUND(G99,10)- 800000)*0.3,0),0)))), IF(OR(B99="2012-2013",B99="2013-2014"), IF(MROUND(G99,10)&lt;= 200000, 0, IF(AND(MROUND(G99,10)&gt; 200000, MROUND(G99,10)&lt;= 500000), ROUND(ABS(MROUND(G99,10)- 200000)*0.1,0), IF(AND(MROUND(G99,10)&gt; 500000, MROUND(G99,10)&lt;= 1000000),  ROUND(30000+ ABS(MROUND(G99,10)- 500000)*0.2,0),  IF(MROUND(G99,10)&gt; 1000000,  ROUND(130000+ABS(MROUND(G99,10)- 1000000)*0.3,0),0)))), IF(OR(B99="2014-2015", B99="2015-2016",B99="2016-2017"), IF(MROUND(G99,10)&lt;= 250000, 0, IF(AND(MROUND(G99,10)&gt; 250000, MROUND(G99,10)&lt;= 500000), ROUND(ABS(MROUND(G99,10)- 250000)*0.1,0), IF(AND(MROUND(G99,10)&gt; 500000, MROUND(G99,10)&lt;= 1000000),  ROUND(25000+ ABS(MROUND(G99,10)- 500000)*0.2,0),  IF(MROUND(G99,10)&gt; 1000000,  ROUND(125000+ABS(MROUND(G99,10)- 1000000)*0.3,0), 0)))), IF(OR(B99="2017-2018",B99="2018-2019",B99="2019-2020",AND(B99="2020-2021",'Basic Information'!$AG$12="No"),AND(B99="2021-2022",'Basic Information'!$AG$15="No"),AND(B99="2022-2023",'Basic Information'!$AG$18="No"),AND(B99="2023-2024",'Basic Information'!$AG$21="Yes"),AND(B99="2024-2025",'Basic Information'!$AG$24="Yes")), IF(MROUND(G99,10)&lt;= 250000, 0, IF(AND(MROUND(G99,10)&gt; 250000, MROUND(G99,10)&lt;= 500000), ROUND(ABS(MROUND(G99,10)- 250000)*0.05,0), IF(AND(MROUND(G99,10)&gt; 500000, MROUND(G99,10)&lt;= 1000000),  ROUND(12500+ ABS(MROUND(G99,10)- 500000)*0.2,0),  IF(MROUND(G99,10)&gt; 1000000,  ROUND(112500+ABS(MROUND(G99,10)- 1000000)*0.3,0), 0)))),IF(OR(AND(B99="2020-2021",'Basic Information'!$AG$12="Yes"),AND(B99="2021-2022",'Basic Information'!$AG$15="Yes"),AND(B99="2022-2023",'Basic Information'!$AG$18="Yes")), IF(MROUND(G99,10)&lt;= 250000, 0, IF(AND(MROUND(G99,10)&gt; 250000, MROUND(G99,10)&lt;= 500000), ROUND(ABS(MROUND(G99,10)- 250000)*0.05,0), IF(AND(MROUND(G99,10)&gt; 500000, MROUND(G99,10)&lt;= 750000),  ROUND(12500+ ABS(MROUND(G99,10)- 500000)*0.1,0), IF(AND(MROUND(G99,10)&gt; 750000, MROUND(G99,10)&lt;= 1000000),  ROUND(37500+ ABS(MROUND(G99,10)- 750000)*0.15,0),IF(AND(MROUND(G99,10)&gt; 1000000, MROUND(G99,10)&lt;= 1250000),  ROUND(75000+ ABS(MROUND(G99,10)- 1000000)*0.2,0),IF(AND(MROUND(G99,10)&gt; 1250000, MROUND(G99,10)&lt;= 1500000),  ROUND(125000+ ABS(MROUND(G99,10)- 1250000)*0.25,0), IF(MROUND(G99,10)&gt; 1500000,  ROUND(187500+ABS(MROUND(G99,10)- 1500000)*0.3,0), 0))))))),IF(AND(B99="2023-2024",'Basic Information'!$AG$21="No"), IF(MROUND(G99,10)&lt;= 300000, 0, IF(AND(MROUND(G99,10)&gt; 300000, MROUND(G99,10)&lt;= 600000), ROUND(ABS(MROUND(G99,10)- 300000)*0.05,0), IF(AND(MROUND(G99,10)&gt; 600000, MROUND(G99,10)&lt;= 900000),  ROUND(15000+ ABS(MROUND(G99,10)- 600000)*0.1,0), IF(AND(MROUND(G99,10)&gt; 900000, MROUND(G99,10)&lt;= 1200000),  ROUND(45000+ ABS(MROUND(G99,10)- 900000)*0.15,0),IF(AND(MROUND(G99,10)&gt; 1200000, MROUND(G99,10)&lt;= 1500000),  ROUND(90000+ ABS(MROUND(G99,10)- 1200000)*0.2,0), IF(MROUND(G99,10)&gt; 1500000,  ROUND(150000+ABS(MROUND(G99,10)- 1500000)*0.3,0), 0)))))),IF(AND(B99="2024-2025",'Basic Information'!$AG$24="No"), IF(MROUND(G99,10)&lt;= 300000, 0, IF(AND(MROUND(G99,10)&gt; 300000, MROUND(G99,10)&lt;= 700000), ROUND(ABS(MROUND(G99,10)- 300000)*0.05,0), IF(AND(MROUND(G99,10)&gt; 700000, MROUND(G99,10)&lt;= 1000000),  ROUND(20000+ ABS(MROUND(G99,10)- 700000)*0.1,0), IF(AND(MROUND(G99,10)&gt; 1000000, MROUND(G99,10)&lt;= 1200000),  ROUND(50000+ ABS(MROUND(G99,10)- 1000000)*0.15,0),IF(AND(MROUND(G99,10)&gt; 1200000, MROUND(G99,10)&lt;= 1500000),  ROUND(80000+ ABS(MROUND(G99,10)- 1200000)*0.2,0), IF(MROUND(G99,10)&gt; 1500000,  ROUND(140000+ABS(MROUND(G99,10)- 1500000)*0.3,0), 0)))))),0)))))))))))))))))</f>
        <v>0</v>
      </c>
      <c r="AU99" s="6">
        <f>IF(OR(B99="2013-2014",B99="2014-2015",B99="2015-2016"),IF(AND(MROUND(G99,10)&lt;=500000,MROUND(G99,10)&lt;&gt;0),IF(AT99&lt;=2000, AT99,2000),0), IF(B99="2016-2017",IF(AND(MROUND(G99,10)&lt;=500000,MROUND(G99,10)&lt;&gt;0),IF(AT99&lt;=5000, AT99,5000),0), IF(OR(B99="2017-2018",B99="2018-2019"),IF(AND(MROUND(G99,10)&lt;=350000,MROUND(G99,10)&lt;&gt;0),IF(AT99&lt;=2500, AT99,2500),0), IF(OR(B99="2019-2020",B99="2020-2021",B99="2021-2022",B99="2022-2023",AND(B99="2023-2024",'Basic Information'!$AG$21="Yes"),AND(B99="2024-2025",'Basic Information'!$AG$24="Yes")),IF(AND(MROUND(G99,10)&lt;=500000,MROUND(G99,10)&lt;&gt;0),IF(AT99&lt;=12500, AT99,12500),0), IF(OR(AND(B99="2023-2024",'Basic Information'!$AG$21="No")),IF(AND(MROUND(G99,10)&lt;=700000,MROUND(G99,10)&lt;&gt;0),IF(AT99&lt;=25000, AT99,25000),IF(AND(MROUND(G99,10)&lt;&gt;0,(MROUND(G99,10)-700000)&lt;=AT99),AT99-(MROUND(G99,10)-700000),0)), IF(OR(AND(B99="2024-2025",'Basic Information'!$AG$24="No")),IF(AND(MROUND(G99,10)&lt;=700000,MROUND(G99,10)&lt;&gt;0),IF(AT99&lt;=20000, AT99,20000),IF(AND(MROUND(G99,10)&lt;&gt;0,(MROUND(G99,10)-700000)&lt;=AT99),AT99-(MROUND(G99,10)-700000),0)),0))))))</f>
        <v>0</v>
      </c>
      <c r="AV99" s="6">
        <f t="shared" si="5"/>
        <v>0</v>
      </c>
      <c r="AW99" s="6">
        <f t="shared" si="6"/>
        <v>0</v>
      </c>
      <c r="AX99" s="6">
        <f>IF( AND(OR(B99="2005-2006",B99="2006-2007"),$U$22&lt;&gt;"Female"),IF( MROUND(S99,10)&lt;= 100000, 0, IF(AND(MROUND(S99,10)&gt; 100000,MROUND(S99,10)&lt;= 150000),  ROUND(ABS(MROUND(S99,10)- 100000)*0.1,0), IF(AND(MROUND(S99,10)&gt; 150000, MROUND(S99,10)&lt;= 250000), ROUND(5000+ ABS(MROUND(S99,10)- 150000)*0.2,0),IF(MROUND(S99,10)&gt; 250000,  ROUND(25000+ABS(MROUND(S99,10)- 250000)*0.3,0),  0)))),IF(AND(OR(B99="2005-2006",B99="2006-2007"),$U$22="Female"),IF(MROUND(S99,10)&lt;= 135000, 0, IF(AND(MROUND(S99,10)&gt; 135000, MROUND(S99,10)&lt;= 150000), ROUND(ABS(MROUND(S99,10)- 135000)*0.1,0), IF(AND(MROUND(S99,10)&gt; 150000, MROUND(S99,10)&lt;= 250000), ROUND(1500+ ABS(MROUND(S99,10)- 150000)*0.2,0),  IF(MROUND(S99,10)&gt; 250000, ROUND(21500+ABS(MROUND(S99,10)- 250000)*0.3,0),0)))),IF(AND(B99="2007-2008",$U$22&lt;&gt;"Female"), IF(MROUND(S99,10)&lt;= 110000,  0,  IF(AND(MROUND(S99,10)&gt; 110000, MROUND(S99,10)&lt;= 150000),     ROUND(ABS(MROUND(S99,10)- 110000)*0.1,0),  IF(AND(MROUND(S99,10)&gt; 150000, MROUND(S99,10)&lt;= 250000),  ROUND(4000+ ABS(MROUND(S99,10)- 150000)*0.2,0),   IF(MROUND(S99,10)&gt; 250000,   ROUND(24000+ABS(MROUND(S99,10)- 250000)*0.3,0),0)))),IF(AND(B99="2007-2008",$U$22="Female"), IF(MROUND(S99,10)&lt;= 145000, 0, IF(AND(MROUND(S99,10)&gt; 145000, MROUND(S99,10)&lt;= 150000),     ROUND(ABS(MROUND(S99,10)- 145000)*0.1,0),  IF(AND(MROUND(S99,10)&gt; 150000, MROUND(S99,10)&lt;= 250000),  ROUND(500+ ABS(MROUND(S99,10)- 150000)*0.2,0),  IF(MROUND(S99,10)&gt; 250000, ROUND(20500+ABS(MROUND(S99,10)- 250000)*0.3,0),0)))), IF(AND(B99="2008-2009",$U$22&lt;&gt;"Female"), IF(MROUND(S99,10)&lt;= 150000, 0, IF(AND(MROUND(S99,10)&gt; 150000, MROUND(S99,10)&lt;= 300000), ROUND(ABS(MROUND(S99,10)- 150000)*0.1,0), IF(AND(MROUND(S99,10)&gt; 300000, MROUND(S99,10)&lt;= 500000),  ROUND(15000+ ABS(MROUND(S99,10)- 300000)*0.2,0),  IF(MROUND(S99,10)&gt; 500000,  ROUND(55000+ABS(MROUND(S99,10)- 500000)*0.3,0),0)))), IF(AND(B99="2008-2009",$U$22="Female"), IF(MROUND(S99,10)&lt;= 180000, 0, IF(AND(MROUND(S99,10)&gt; 180000, MROUND(S99,10)&lt;= 300000), ROUND(ABS(MROUND(S99,10)- 180000)*0.1,0), IF(AND(MROUND(S99,10)&gt; 300000, MROUND(S99,10)&lt;= 500000), ROUND(12000+ ABS(MROUND(S99,10)- 300000)*0.2,0),  IF(MROUND(S99,10)&gt; 500000,  ROUND(52000+ABS(MROUND(S99,10)- 500000)*0.3,0),0)))), IF(AND(B99="2009-2010", $U$22&lt;&gt;"Female"), IF(MROUND(S99,10)&lt;= 160000, 0, IF(AND(MROUND(S99,10)&gt; 160000, MROUND(S99,10)&lt;= 300000),ROUND(ABS(MROUND(S99,10)- 160000)*0.1,0), IF(AND(MROUND(S99,10)&gt; 300000, MROUND(S99,10)&lt;= 500000),ROUND(14000+ ABS(MROUND(S99,10)- 300000)*0.2,0),  IF(MROUND(S99,10)&gt; 500000, ROUND(54000+ABS(MROUND(S99,10)- 500000)*0.3,0),0)))),IF(AND(B99="2009-2010",$U$22="Female"), IF(MROUND(S99,10)&lt;= 190000, 0, IF(AND(MROUND(S99,10)&gt; 190000, MROUND(S99,10)&lt;= 300000),ROUND(ABS(MROUND(S99,10)- 190000)*0.1,0), IF(AND(MROUND(S99,10)&gt; 300000, MROUND(S99,10)&lt;= 500000), ROUND(11000+ ABS(MROUND(S99,10)- 300000)*0.2,0),IF(MROUND(S99,10)&gt; 500000,  ROUND(51000+ABS(MROUND(S99,10)- 500000)*0.3,0),0)))), IF(AND(B99="2010-2011",$U$22&lt;&gt;"Female"), IF(MROUND(S99,10)&lt;= 160000, 0, IF(AND(MROUND(S99,10)&gt; 160000, MROUND(S99,10)&lt;= 500000), ROUND(ABS(MROUND(S99,10)- 160000)*0.1,0), IF(AND(MROUND(S99,10)&gt; 500000, MROUND(S99,10)&lt;= 800000), ROUND(34000+ ABS(MROUND(S99,10)- 500000)*0.2,0),  IF(MROUND(S99,10)&gt; 800000,  ROUND(94000+ABS(MROUND(S99,10)- 800000)*0.3,0),0)))), IF(AND(OR(B99="2010-2011",B99="2011-2012"),$U$22="Female"), IF(MROUND(S99,10)&lt;= 190000, 0, IF(AND(MROUND(S99,10)&gt; 190000, MROUND(S99,10)&lt;= 500000), ROUND(ABS(MROUND(S99,10)- 190000)*0.1,0), IF(AND(MROUND(S99,10)&gt; 500000, MROUND(S99,10)&lt;= 800000),  ROUND(31000+ ABS(MROUND(S99,10)- 500000)*0.2,0),  IF(MROUND(S99,10)&gt; 800000,  ROUND(91000+ABS(MROUND(S99,10)- 800000)*0.3,0),0)))), IF(AND(B99="2011-2012", $U$22&lt;&gt;"Female"), IF(MROUND(S99,10)&lt;= 180000, 0, IF(AND(MROUND(S99,10)&gt; 180000, MROUND(S99,10)&lt;= 500000), ROUND(ABS(MROUND(S99,10)- 180000)*0.1,0), IF(AND(MROUND(S99,10)&gt; 500000, MROUND(S99,10)&lt;= 800000),  ROUND(32000+ ABS(MROUND(S99,10)- 500000)*0.2,0),  IF(MROUND(S99,10)&gt; 800000,  ROUND(92000+ABS(MROUND(S99,10)- 800000)*0.3,0),0)))), IF(OR(B99="2012-2013",B99="2013-2014"), IF(MROUND(S99,10)&lt;= 200000, 0, IF(AND(MROUND(S99,10)&gt; 200000, MROUND(S99,10)&lt;= 500000), ROUND(ABS(MROUND(S99,10)- 200000)*0.1,0), IF(AND(MROUND(S99,10)&gt; 500000, MROUND(S99,10)&lt;= 1000000),  ROUND(30000+ ABS(MROUND(S99,10)- 500000)*0.2,0),  IF(MROUND(S99,10)&gt; 1000000,  ROUND(130000+ABS(MROUND(S99,10)- 1000000)*0.3,0),0)))), IF(OR(B99="2014-2015", B99="2015-2016",B99="2016-2017"), IF(MROUND(S99,10)&lt;= 250000, 0, IF(AND(MROUND(S99,10)&gt; 250000, MROUND(S99,10)&lt;= 500000), ROUND(ABS(MROUND(S99,10)- 250000)*0.1,0), IF(AND(MROUND(S99,10)&gt; 500000, MROUND(S99,10)&lt;= 1000000),  ROUND(25000+ ABS(MROUND(S99,10)- 500000)*0.2,0),  IF(MROUND(S99,10)&gt; 1000000,  ROUND(125000+ABS(MROUND(S99,10)- 1000000)*0.3,0), 0)))),IF(OR(B99="2017-2018",B99="2018-2019",B99="2019-2020",AND(B99="2020-2021",'Basic Information'!$AG$12="No"),AND(B99="2021-2022",'Basic Information'!$AG$15="No"),AND(B99="2022-2023",'Basic Information'!$AG$18="No"),AND(B99="2023-2024",'Basic Information'!$AG$21="Yes"),AND(B99="2024-2025",'Basic Information'!$AG$24="Yes")), IF(MROUND(S99,10)&lt;= 250000, 0, IF(AND(MROUND(S99,10)&gt; 250000, MROUND(S99,10)&lt;= 500000), ROUND(ABS(MROUND(S99,10)- 250000)*0.05,0), IF(AND(MROUND(S99,10)&gt; 500000, MROUND(S99,10)&lt;= 1000000),  ROUND(12500+ ABS(MROUND(S99,10)- 500000)*0.2,0),  IF(MROUND(S99,10)&gt; 1000000,  ROUND(112500+ABS(MROUND(S99,10)- 1000000)*0.3,0), 0)))),IF(OR(AND(B99="2020-2021",'Basic Information'!$AG$12="Yes"),AND(B99="2021-2022",'Basic Information'!$AG$15="Yes"),AND(B99="2022-2023",'Basic Information'!$AG$18="Yes")), IF(MROUND(S99,10)&lt;= 250000, 0, IF(AND(MROUND(S99,10)&gt; 250000, MROUND(S99,10)&lt;= 500000), ROUND(ABS(MROUND(S99,10)- 250000)*0.05,0), IF(AND(MROUND(S99,10)&gt; 500000, MROUND(S99,10)&lt;= 750000),  ROUND(12500+ ABS(MROUND(S99,10)- 500000)*0.1,0), IF(AND(MROUND(S99,10)&gt; 750000, MROUND(S99,10)&lt;= 1000000),  ROUND(37500+ ABS(MROUND(S99,10)- 750000)*0.15,0),IF(AND(MROUND(S99,10)&gt; 1000000, MROUND(S99,10)&lt;= 1250000),  ROUND(75000+ ABS(MROUND(S99,10)- 1000000)*0.2,0),IF(AND(MROUND(S99,10)&gt; 1250000, MROUND(S99,10)&lt;= 1500000),  ROUND(125000+ ABS(MROUND(S99,10)- 1250000)*0.25,0), IF(MROUND(S99,10)&gt; 1500000,  ROUND(187500+ABS(MROUND(S99,10)- 1500000)*0.3,0), 0))))))),IF(AND(B99="2023-2024",'Basic Information'!$AG$21="No"), IF(MROUND(S99,10)&lt;= 300000, 0, IF(AND(MROUND(S99,10)&gt; 300000, MROUND(S99,10)&lt;= 600000), ROUND(ABS(MROUND(S99,10)- 300000)*0.05,0), IF(AND(MROUND(S99,10)&gt; 600000, MROUND(S99,10)&lt;= 900000),  ROUND(15000+ ABS(MROUND(S99,10)- 600000)*0.1,0), IF(AND(MROUND(S99,10)&gt; 900000, MROUND(S99,10)&lt;= 1200000),  ROUND(45000+ ABS(MROUND(S99,10)- 900000)*0.15,0),IF(AND(MROUND(S99,10)&gt; 1200000, MROUND(S99,10)&lt;= 1500000),  ROUND(90000+ ABS(MROUND(S99,10)- 1200000)*0.2,0), IF(MROUND(S99,10)&gt; 1500000,  ROUND(150000+ABS(MROUND(S99,10)- 1500000)*0.3,0), 0)))))),IF(AND(B99="2024-2025",'Basic Information'!$AG$24="No"), IF(MROUND(S99,10)&lt;= 300000, 0, IF(AND(MROUND(S99,10)&gt; 300000, MROUND(S99,10)&lt;= 700000), ROUND(ABS(MROUND(S99,10)- 300000)*0.05,0), IF(AND(MROUND(S99,10)&gt; 700000, MROUND(S99,10)&lt;= 1000000),  ROUND(20000+ ABS(MROUND(S99,10)- 700000)*0.1,0), IF(AND(MROUND(S99,10)&gt; 1000000, MROUND(S99,10)&lt;= 1200000),  ROUND(50000+ ABS(MROUND(S99,10)- 1000000)*0.15,0),IF(AND(MROUND(S99,10)&gt; 1200000, MROUND(S99,10)&lt;= 1500000),  ROUND(80000+ ABS(MROUND(S99,10)- 1200000)*0.2,0), IF(MROUND(S99,10)&gt; 1500000,  ROUND(140000+ABS(MROUND(S99,10)- 1500000)*0.3,0), 0)))))),0)))))))))))))))))</f>
        <v>0</v>
      </c>
      <c r="AY99" s="6">
        <f>IF(OR(B99="2013-2014",B99="2014-2015",B99="2015-2016"),IF(AND(MROUND(S99,10)&lt;=500000,MROUND(S99,10)&lt;&gt;0),IF(AX99&lt;=2000, AX99,2000),0), IF(B99="2016-2017",IF(AND(MROUND(S99,10)&lt;=500000, MROUND(S99,10)&lt;&gt;0),IF(AX99&lt;=5000, AX99,5000),0), IF(OR(B99="2017-2018",B99="2018-2019"),IF(AND(MROUND(S99,10)&lt;=350000,MROUND(S99,10)&lt;&gt;0),IF(AX99&lt;=2500, AX99,2500),0), IF(OR(B99="2019-2020",B99="2020-2021",B99="2021-2022",B99="2022-2023",AND(B99="2023-2024",'Basic Information'!$AG$21="Yes"),AND(B99="2024-2025",'Basic Information'!$AG$24="Yes")),IF(AND(MROUND(S99,10)&lt;=500000,MROUND(S99,10)&lt;&gt;0),IF(AX99&lt;=12500, AX99,12500),0), IF(OR(AND(B99="2023-2024",'Basic Information'!$AG$21="No")),IF(AND(MROUND(S99,10)&lt;=700000,MROUND(S99,10)&lt;&gt;0),IF(AX99&lt;=25000, AX99,25000),IF(AND(MROUND(S99,10)&lt;&gt;0,(MROUND(S99,10)-700000)&lt;= AX99), AX99-(MROUND(S99,10)-700000),0)), IF(OR(AND(B99="2024-2025",'Basic Information'!$AG$24="No")),IF(AND(MROUND(S99,10)&lt;=700000,MROUND(S99,10)&lt;&gt;0),IF(AX99&lt;=20000, AX99,20000),IF(AND(MROUND(S99,10)&lt;&gt;0,(MROUND(S99,10)-700000)&lt;= AX99), AX99-(MROUND(S99,10)-700000),0)),0))))))</f>
        <v>0</v>
      </c>
      <c r="AZ99" s="6">
        <f t="shared" si="7"/>
        <v>0</v>
      </c>
      <c r="BA99" s="6">
        <f t="shared" si="8"/>
        <v>0</v>
      </c>
    </row>
    <row r="100" spans="2:53" x14ac:dyDescent="0.3">
      <c r="B100" s="545" t="str">
        <f>IF(ISBLANK('Form 10E - Old Scheme'!B100),"",'Form 10E - Old Scheme'!B100)</f>
        <v/>
      </c>
      <c r="C100" s="546"/>
      <c r="D100" s="546"/>
      <c r="E100" s="546"/>
      <c r="F100" s="547"/>
      <c r="G100" s="458">
        <f>IF(ISNUMBER('Form 10E - Old Scheme'!G100),'Form 10E - Old Scheme'!G100,0)</f>
        <v>0</v>
      </c>
      <c r="H100" s="459"/>
      <c r="I100" s="459"/>
      <c r="J100" s="459"/>
      <c r="K100" s="459"/>
      <c r="L100" s="460"/>
      <c r="M100" s="458">
        <f>IF(ISNUMBER('Form 10E - Old Scheme'!M100),'Form 10E - Old Scheme'!M100,0)</f>
        <v>0</v>
      </c>
      <c r="N100" s="459"/>
      <c r="O100" s="459"/>
      <c r="P100" s="459"/>
      <c r="Q100" s="459"/>
      <c r="R100" s="460"/>
      <c r="S100" s="458">
        <f t="shared" si="2"/>
        <v>0</v>
      </c>
      <c r="T100" s="459"/>
      <c r="U100" s="459"/>
      <c r="V100" s="459"/>
      <c r="W100" s="459"/>
      <c r="X100" s="460"/>
      <c r="Y100" s="458">
        <f t="shared" si="3"/>
        <v>0</v>
      </c>
      <c r="Z100" s="459"/>
      <c r="AA100" s="459"/>
      <c r="AB100" s="459"/>
      <c r="AC100" s="459"/>
      <c r="AD100" s="460"/>
      <c r="AE100" s="458">
        <f t="shared" si="4"/>
        <v>0</v>
      </c>
      <c r="AF100" s="459"/>
      <c r="AG100" s="459"/>
      <c r="AH100" s="459"/>
      <c r="AI100" s="459"/>
      <c r="AJ100" s="461"/>
      <c r="AK100" s="462">
        <f t="shared" ref="AK100" si="10">ABS(AE100-Y100)</f>
        <v>0</v>
      </c>
      <c r="AL100" s="463"/>
      <c r="AM100" s="463"/>
      <c r="AN100" s="463"/>
      <c r="AO100" s="463"/>
      <c r="AP100" s="464"/>
      <c r="AQ100" s="36" t="str">
        <f t="shared" ref="AQ100" si="11">IF(AND(OR(NOT(ISBLANK(G100)),NOT(ISBLANK(M100))),OR(ISBLANK(B100),B100="Select")),"Please select a Financial Year","")</f>
        <v/>
      </c>
      <c r="AT100" s="6">
        <f>IF( AND(OR(B100="2005-2006",B100="2006-2007"),$U$22&lt;&gt;"Female"),IF( MROUND(G100,10)&lt;= 100000, 0, IF(AND(MROUND(G100,10)&gt; 100000,MROUND(G100,10)&lt;= 150000),  ROUND(ABS(MROUND(G100,10)- 100000)*0.1,0), IF(AND(MROUND(G100,10)&gt; 150000, MROUND(G100,10)&lt;= 250000), ROUND(5000+ ABS(MROUND(G100,10)- 150000)*0.2,0),IF(MROUND(G100,10)&gt; 250000,  ROUND(25000+ABS(MROUND(G100,10)- 250000)*0.3,0),  0)))),IF(AND(OR(B100="2005-2006",B100="2006-2007"),$U$22="Female"),IF(MROUND(G100,10)&lt;= 135000, 0, IF(AND(MROUND(G100,10)&gt; 135000, MROUND(G100,10)&lt;= 150000), ROUND(ABS(MROUND(G100,10)- 135000)*0.1,0), IF(AND(MROUND(G100,10)&gt; 150000, MROUND(G100,10)&lt;= 250000), ROUND(1500+ ABS(MROUND(G100,10)- 150000)*0.2,0),  IF(MROUND(G100,10)&gt; 250000, ROUND(21500+ABS(MROUND(G100,10)- 250000)*0.3,0),0)))),IF(AND(B100="2007-2008",$U$22&lt;&gt;"Female"), IF(MROUND(G100,10)&lt;= 110000,  0,  IF(AND(MROUND(G100,10)&gt; 110000, MROUND(G100,10)&lt;= 150000), ROUND(ABS(MROUND(G100,10)- 110000)*0.1,0),  IF(AND(MROUND(G100,10)&gt; 150000, MROUND(G100,10)&lt;= 250000),  ROUND(4000+ ABS(MROUND(G100,10)- 150000)*0.2,0),   IF(MROUND(G100,10)&gt; 250000,   ROUND(24000+ABS(MROUND(G100,10)- 250000)*0.3,0),0)))),IF(AND(B100="2007-2008",$U$22="Female"), IF(MROUND(G100,10)&lt;= 145000, 0, IF(AND(MROUND(G100,10)&gt; 145000, MROUND(G100,10)&lt;= 150000),     ROUND(ABS(MROUND(G100,10)- 145000)*0.1,0),  IF(AND(MROUND(G100,10)&gt; 150000, MROUND(G100,10)&lt;= 250000),  ROUND(500+ ABS(MROUND(G100,10)- 150000)*0.2,0),  IF(MROUND(G100,10)&gt; 250000, ROUND(20500+ABS(MROUND(G100,10)- 250000)*0.3,0),0)))), IF(AND(B100="2008-2009",$U$22&lt;&gt;"Female"), IF(MROUND(G100,10)&lt;= 150000, 0, IF(AND(MROUND(G100,10)&gt; 150000, MROUND(G100,10)&lt;= 300000), ROUND(ABS(MROUND(G100,10)- 150000)*0.1,0), IF(AND(MROUND(G100,10)&gt; 300000, MROUND(G100,10)&lt;= 500000),  ROUND(15000+ ABS(MROUND(G100,10)- 300000)*0.2,0),  IF(MROUND(G100,10)&gt; 500000,  ROUND(55000+ABS(MROUND(G100,10)- 500000)*0.3,0),0)))), IF(AND(B100="2008-2009",$U$22="Female"), IF(MROUND(G100,10)&lt;= 180000, 0, IF(AND(MROUND(G100,10)&gt; 180000, MROUND(G100,10)&lt;= 300000), ROUND(ABS(MROUND(G100,10)- 180000)*0.1,0), IF(AND(MROUND(G100,10)&gt; 300000, MROUND(G100,10)&lt;= 500000), ROUND(12000+ ABS(MROUND(G100,10)- 300000)*0.2,0),  IF(MROUND(G100,10)&gt; 500000,  ROUND(52000+ABS(MROUND(G100,10)- 500000)*0.3,0),0)))), IF(AND(B100="2009-2010", $U$22&lt;&gt;"Female"), IF(MROUND(G100,10)&lt;= 160000, 0, IF(AND(MROUND(G100,10)&gt; 160000, MROUND(G100,10)&lt;= 300000),ROUND(ABS(MROUND(G100,10)- 160000)*0.1,0), IF(AND(MROUND(G100,10)&gt; 300000, MROUND(G100,10)&lt;= 500000),ROUND(14000+ ABS(MROUND(G100,10)- 300000)*0.2,0),  IF(MROUND(G100,10)&gt; 500000, ROUND(54000+ABS(MROUND(G100,10)- 500000)*0.3,0),0)))),IF(AND(B100="2009-2010",$U$22="Female"), IF(MROUND(G100,10)&lt;= 190000, 0, IF(AND(MROUND(G100,10)&gt; 190000, MROUND(G100,10)&lt;= 300000),ROUND(ABS(MROUND(G100,10)- 190000)*0.1,0), IF(AND(MROUND(G100,10)&gt; 300000, MROUND(G100,10)&lt;= 500000), ROUND(11000+ ABS(MROUND(G100,10)- 300000)*0.2,0),IF(MROUND(G100,10)&gt; 500000,  ROUND(51000+ABS(MROUND(G100,10)- 500000)*0.3,0),0)))), IF(AND(B100="2010-2011",$U$22&lt;&gt;"Female"), IF(MROUND(G100,10)&lt;= 160000, 0, IF(AND(MROUND(G100,10)&gt; 160000, MROUND(G100,10)&lt;= 500000), ROUND(ABS(MROUND(G100,10)- 160000)*0.1,0), IF(AND(MROUND(G100,10)&gt; 500000, MROUND(G100,10)&lt;= 800000), ROUND(34000+ ABS(MROUND(G100,10)- 500000)*0.2,0),  IF(MROUND(G100,10)&gt; 800000,  ROUND(94000+ABS(MROUND(G100,10)- 800000)*0.3,0),0)))), IF(AND(OR(B100="2010-2011",B100="2011-2012"),$U$22="Female"), IF(MROUND(G100,10)&lt;= 190000, 0, IF(AND(MROUND(G100,10)&gt; 190000, MROUND(G100,10)&lt;= 500000), ROUND(ABS(MROUND(G100,10)- 190000)*0.1,0), IF(AND(MROUND(G100,10)&gt; 500000, MROUND(G100,10)&lt;= 800000),  ROUND(31000+ ABS(MROUND(G100,10)- 500000)*0.2,0),  IF(MROUND(G100,10)&gt; 800000,  ROUND(91000+ABS(MROUND(G100,10)- 800000)*0.3,0),0)))), IF(AND(B100="2011-2012", $U$22&lt;&gt;"Female"), IF(MROUND(G100,10)&lt;= 180000, 0, IF(AND(MROUND(G100,10)&gt; 180000, MROUND(G100,10)&lt;= 500000), ROUND(ABS(MROUND(G100,10)- 180000)*0.1,0), IF(AND(MROUND(G100,10)&gt; 500000, MROUND(G100,10)&lt;= 800000),  ROUND(32000+ ABS(MROUND(G100,10)- 500000)*0.2,0),  IF(MROUND(G100,10)&gt; 800000,  ROUND(92000+ABS(MROUND(G100,10)- 800000)*0.3,0),0)))), IF(OR(B100="2012-2013",B100="2013-2014"), IF(MROUND(G100,10)&lt;= 200000, 0, IF(AND(MROUND(G100,10)&gt; 200000, MROUND(G100,10)&lt;= 500000), ROUND(ABS(MROUND(G100,10)- 200000)*0.1,0), IF(AND(MROUND(G100,10)&gt; 500000, MROUND(G100,10)&lt;= 1000000),  ROUND(30000+ ABS(MROUND(G100,10)- 500000)*0.2,0),  IF(MROUND(G100,10)&gt; 1000000,  ROUND(130000+ABS(MROUND(G100,10)- 1000000)*0.3,0),0)))), IF(OR(B100="2014-2015", B100="2015-2016",B100="2016-2017"), IF(MROUND(G100,10)&lt;= 250000, 0, IF(AND(MROUND(G100,10)&gt; 250000, MROUND(G100,10)&lt;= 500000), ROUND(ABS(MROUND(G100,10)- 250000)*0.1,0), IF(AND(MROUND(G100,10)&gt; 500000, MROUND(G100,10)&lt;= 1000000),  ROUND(25000+ ABS(MROUND(G100,10)- 500000)*0.2,0),  IF(MROUND(G100,10)&gt; 1000000,  ROUND(125000+ABS(MROUND(G100,10)- 1000000)*0.3,0), 0)))), IF(OR(B100="2017-2018",B100="2018-2019",B100="2019-2020",AND(B100="2020-2021",'Basic Information'!$AG$12="No"),AND(B100="2021-2022",'Basic Information'!$AG$15="No"),AND(B100="2022-2023",'Basic Information'!$AG$18="No"),AND(B100="2023-2024",'Basic Information'!$AG$21="Yes"),AND(B100="2024-2025",'Basic Information'!$AG$24="Yes")), IF(MROUND(G100,10)&lt;= 250000, 0, IF(AND(MROUND(G100,10)&gt; 250000, MROUND(G100,10)&lt;= 500000), ROUND(ABS(MROUND(G100,10)- 250000)*0.05,0), IF(AND(MROUND(G100,10)&gt; 500000, MROUND(G100,10)&lt;= 1000000),  ROUND(12500+ ABS(MROUND(G100,10)- 500000)*0.2,0),  IF(MROUND(G100,10)&gt; 1000000,  ROUND(112500+ABS(MROUND(G100,10)- 1000000)*0.3,0), 0)))),IF(OR(AND(B100="2020-2021",'Basic Information'!$AG$12="Yes"),AND(B100="2021-2022",'Basic Information'!$AG$15="Yes"),AND(B100="2022-2023",'Basic Information'!$AG$18="Yes")), IF(MROUND(G100,10)&lt;= 250000, 0, IF(AND(MROUND(G100,10)&gt; 250000, MROUND(G100,10)&lt;= 500000), ROUND(ABS(MROUND(G100,10)- 250000)*0.05,0), IF(AND(MROUND(G100,10)&gt; 500000, MROUND(G100,10)&lt;= 750000),  ROUND(12500+ ABS(MROUND(G100,10)- 500000)*0.1,0), IF(AND(MROUND(G100,10)&gt; 750000, MROUND(G100,10)&lt;= 1000000),  ROUND(37500+ ABS(MROUND(G100,10)- 750000)*0.15,0),IF(AND(MROUND(G100,10)&gt; 1000000, MROUND(G100,10)&lt;= 1250000),  ROUND(75000+ ABS(MROUND(G100,10)- 1000000)*0.2,0),IF(AND(MROUND(G100,10)&gt; 1250000, MROUND(G100,10)&lt;= 1500000),  ROUND(125000+ ABS(MROUND(G100,10)- 1250000)*0.25,0), IF(MROUND(G100,10)&gt; 1500000,  ROUND(187500+ABS(MROUND(G100,10)- 1500000)*0.3,0), 0))))))),IF(AND(B100="2023-2024",'Basic Information'!$AG$21="No"), IF(MROUND(G100,10)&lt;= 300000, 0, IF(AND(MROUND(G100,10)&gt; 300000, MROUND(G100,10)&lt;= 600000), ROUND(ABS(MROUND(G100,10)- 300000)*0.05,0), IF(AND(MROUND(G100,10)&gt; 600000, MROUND(G100,10)&lt;= 900000),  ROUND(15000+ ABS(MROUND(G100,10)- 600000)*0.1,0), IF(AND(MROUND(G100,10)&gt; 900000, MROUND(G100,10)&lt;= 1200000),  ROUND(45000+ ABS(MROUND(G100,10)- 900000)*0.15,0),IF(AND(MROUND(G100,10)&gt; 1200000, MROUND(G100,10)&lt;= 1500000),  ROUND(90000+ ABS(MROUND(G100,10)- 1200000)*0.2,0), IF(MROUND(G100,10)&gt; 1500000,  ROUND(150000+ABS(MROUND(G100,10)- 1500000)*0.3,0), 0)))))),IF(AND(B100="2024-2025",'Basic Information'!$AG$24="No"), IF(MROUND(G100,10)&lt;= 300000, 0, IF(AND(MROUND(G100,10)&gt; 300000, MROUND(G100,10)&lt;= 700000), ROUND(ABS(MROUND(G100,10)- 300000)*0.05,0), IF(AND(MROUND(G100,10)&gt; 700000, MROUND(G100,10)&lt;= 1000000),  ROUND(20000+ ABS(MROUND(G100,10)- 700000)*0.1,0), IF(AND(MROUND(G100,10)&gt; 1000000, MROUND(G100,10)&lt;= 1200000),  ROUND(50000+ ABS(MROUND(G100,10)- 1000000)*0.15,0),IF(AND(MROUND(G100,10)&gt; 1200000, MROUND(G100,10)&lt;= 1500000),  ROUND(80000+ ABS(MROUND(G100,10)- 1200000)*0.2,0), IF(MROUND(G100,10)&gt; 1500000,  ROUND(140000+ABS(MROUND(G100,10)- 1500000)*0.3,0), 0)))))),0)))))))))))))))))</f>
        <v>0</v>
      </c>
      <c r="AU100" s="6">
        <f>IF(OR(B100="2013-2014",B100="2014-2015",B100="2015-2016"),IF(AND(MROUND(G100,10)&lt;=500000,MROUND(G100,10)&lt;&gt;0),IF(AT100&lt;=2000, AT100,2000),0), IF(B100="2016-2017",IF(AND(MROUND(G100,10)&lt;=500000,MROUND(G100,10)&lt;&gt;0),IF(AT100&lt;=5000, AT100,5000),0), IF(OR(B100="2017-2018",B100="2018-2019"),IF(AND(MROUND(G100,10)&lt;=350000,MROUND(G100,10)&lt;&gt;0),IF(AT100&lt;=2500, AT100,2500),0), IF(OR(B100="2019-2020",B100="2020-2021",B100="2021-2022",B100="2022-2023",AND(B100="2023-2024",'Basic Information'!$AG$21="Yes"),AND(B100="2024-2025",'Basic Information'!$AG$24="Yes")),IF(AND(MROUND(G100,10)&lt;=500000,MROUND(G100,10)&lt;&gt;0),IF(AT100&lt;=12500, AT100,12500),0), IF(OR(AND(B100="2023-2024",'Basic Information'!$AG$21="No")),IF(AND(MROUND(G100,10)&lt;=700000,MROUND(G100,10)&lt;&gt;0),IF(AT100&lt;=25000, AT100,25000),IF(AND(MROUND(G100,10)&lt;&gt;0,(MROUND(G100,10)-700000)&lt;=AT100),AT100-(MROUND(G100,10)-700000),0)), IF(OR(AND(B100="2024-2025",'Basic Information'!$AG$24="No")),IF(AND(MROUND(G100,10)&lt;=700000,MROUND(G100,10)&lt;&gt;0),IF(AT100&lt;=20000, AT100,20000),IF(AND(MROUND(G100,10)&lt;&gt;0,(MROUND(G100,10)-700000)&lt;=AT100),AT100-(MROUND(G100,10)-700000),0)),0))))))</f>
        <v>0</v>
      </c>
      <c r="AV100" s="6">
        <f t="shared" si="5"/>
        <v>0</v>
      </c>
      <c r="AW100" s="6">
        <f t="shared" si="6"/>
        <v>0</v>
      </c>
      <c r="AX100" s="6">
        <f>IF( AND(OR(B100="2005-2006",B100="2006-2007"),$U$22&lt;&gt;"Female"),IF( MROUND(S100,10)&lt;= 100000, 0, IF(AND(MROUND(S100,10)&gt; 100000,MROUND(S100,10)&lt;= 150000),  ROUND(ABS(MROUND(S100,10)- 100000)*0.1,0), IF(AND(MROUND(S100,10)&gt; 150000, MROUND(S100,10)&lt;= 250000), ROUND(5000+ ABS(MROUND(S100,10)- 150000)*0.2,0),IF(MROUND(S100,10)&gt; 250000,  ROUND(25000+ABS(MROUND(S100,10)- 250000)*0.3,0),  0)))),IF(AND(OR(B100="2005-2006",B100="2006-2007"),$U$22="Female"),IF(MROUND(S100,10)&lt;= 135000, 0, IF(AND(MROUND(S100,10)&gt; 135000, MROUND(S100,10)&lt;= 150000), ROUND(ABS(MROUND(S100,10)- 135000)*0.1,0), IF(AND(MROUND(S100,10)&gt; 150000, MROUND(S100,10)&lt;= 250000), ROUND(1500+ ABS(MROUND(S100,10)- 150000)*0.2,0),  IF(MROUND(S100,10)&gt; 250000, ROUND(21500+ABS(MROUND(S100,10)- 250000)*0.3,0),0)))),IF(AND(B100="2007-2008",$U$22&lt;&gt;"Female"), IF(MROUND(S100,10)&lt;= 110000,  0,  IF(AND(MROUND(S100,10)&gt; 110000, MROUND(S100,10)&lt;= 150000),     ROUND(ABS(MROUND(S100,10)- 110000)*0.1,0),  IF(AND(MROUND(S100,10)&gt; 150000, MROUND(S100,10)&lt;= 250000),  ROUND(4000+ ABS(MROUND(S100,10)- 150000)*0.2,0),   IF(MROUND(S100,10)&gt; 250000,   ROUND(24000+ABS(MROUND(S100,10)- 250000)*0.3,0),0)))),IF(AND(B100="2007-2008",$U$22="Female"), IF(MROUND(S100,10)&lt;= 145000, 0, IF(AND(MROUND(S100,10)&gt; 145000, MROUND(S100,10)&lt;= 150000),     ROUND(ABS(MROUND(S100,10)- 145000)*0.1,0),  IF(AND(MROUND(S100,10)&gt; 150000, MROUND(S100,10)&lt;= 250000),  ROUND(500+ ABS(MROUND(S100,10)- 150000)*0.2,0),  IF(MROUND(S100,10)&gt; 250000, ROUND(20500+ABS(MROUND(S100,10)- 250000)*0.3,0),0)))), IF(AND(B100="2008-2009",$U$22&lt;&gt;"Female"), IF(MROUND(S100,10)&lt;= 150000, 0, IF(AND(MROUND(S100,10)&gt; 150000, MROUND(S100,10)&lt;= 300000), ROUND(ABS(MROUND(S100,10)- 150000)*0.1,0), IF(AND(MROUND(S100,10)&gt; 300000, MROUND(S100,10)&lt;= 500000),  ROUND(15000+ ABS(MROUND(S100,10)- 300000)*0.2,0),  IF(MROUND(S100,10)&gt; 500000,  ROUND(55000+ABS(MROUND(S100,10)- 500000)*0.3,0),0)))), IF(AND(B100="2008-2009",$U$22="Female"), IF(MROUND(S100,10)&lt;= 180000, 0, IF(AND(MROUND(S100,10)&gt; 180000, MROUND(S100,10)&lt;= 300000), ROUND(ABS(MROUND(S100,10)- 180000)*0.1,0), IF(AND(MROUND(S100,10)&gt; 300000, MROUND(S100,10)&lt;= 500000), ROUND(12000+ ABS(MROUND(S100,10)- 300000)*0.2,0),  IF(MROUND(S100,10)&gt; 500000,  ROUND(52000+ABS(MROUND(S100,10)- 500000)*0.3,0),0)))), IF(AND(B100="2009-2010", $U$22&lt;&gt;"Female"), IF(MROUND(S100,10)&lt;= 160000, 0, IF(AND(MROUND(S100,10)&gt; 160000, MROUND(S100,10)&lt;= 300000),ROUND(ABS(MROUND(S100,10)- 160000)*0.1,0), IF(AND(MROUND(S100,10)&gt; 300000, MROUND(S100,10)&lt;= 500000),ROUND(14000+ ABS(MROUND(S100,10)- 300000)*0.2,0),  IF(MROUND(S100,10)&gt; 500000, ROUND(54000+ABS(MROUND(S100,10)- 500000)*0.3,0),0)))),IF(AND(B100="2009-2010",$U$22="Female"), IF(MROUND(S100,10)&lt;= 190000, 0, IF(AND(MROUND(S100,10)&gt; 190000, MROUND(S100,10)&lt;= 300000),ROUND(ABS(MROUND(S100,10)- 190000)*0.1,0), IF(AND(MROUND(S100,10)&gt; 300000, MROUND(S100,10)&lt;= 500000), ROUND(11000+ ABS(MROUND(S100,10)- 300000)*0.2,0),IF(MROUND(S100,10)&gt; 500000,  ROUND(51000+ABS(MROUND(S100,10)- 500000)*0.3,0),0)))), IF(AND(B100="2010-2011",$U$22&lt;&gt;"Female"), IF(MROUND(S100,10)&lt;= 160000, 0, IF(AND(MROUND(S100,10)&gt; 160000, MROUND(S100,10)&lt;= 500000), ROUND(ABS(MROUND(S100,10)- 160000)*0.1,0), IF(AND(MROUND(S100,10)&gt; 500000, MROUND(S100,10)&lt;= 800000), ROUND(34000+ ABS(MROUND(S100,10)- 500000)*0.2,0),  IF(MROUND(S100,10)&gt; 800000,  ROUND(94000+ABS(MROUND(S100,10)- 800000)*0.3,0),0)))), IF(AND(OR(B100="2010-2011",B100="2011-2012"),$U$22="Female"), IF(MROUND(S100,10)&lt;= 190000, 0, IF(AND(MROUND(S100,10)&gt; 190000, MROUND(S100,10)&lt;= 500000), ROUND(ABS(MROUND(S100,10)- 190000)*0.1,0), IF(AND(MROUND(S100,10)&gt; 500000, MROUND(S100,10)&lt;= 800000),  ROUND(31000+ ABS(MROUND(S100,10)- 500000)*0.2,0),  IF(MROUND(S100,10)&gt; 800000,  ROUND(91000+ABS(MROUND(S100,10)- 800000)*0.3,0),0)))), IF(AND(B100="2011-2012", $U$22&lt;&gt;"Female"), IF(MROUND(S100,10)&lt;= 180000, 0, IF(AND(MROUND(S100,10)&gt; 180000, MROUND(S100,10)&lt;= 500000), ROUND(ABS(MROUND(S100,10)- 180000)*0.1,0), IF(AND(MROUND(S100,10)&gt; 500000, MROUND(S100,10)&lt;= 800000),  ROUND(32000+ ABS(MROUND(S100,10)- 500000)*0.2,0),  IF(MROUND(S100,10)&gt; 800000,  ROUND(92000+ABS(MROUND(S100,10)- 800000)*0.3,0),0)))), IF(OR(B100="2012-2013",B100="2013-2014"), IF(MROUND(S100,10)&lt;= 200000, 0, IF(AND(MROUND(S100,10)&gt; 200000, MROUND(S100,10)&lt;= 500000), ROUND(ABS(MROUND(S100,10)- 200000)*0.1,0), IF(AND(MROUND(S100,10)&gt; 500000, MROUND(S100,10)&lt;= 1000000),  ROUND(30000+ ABS(MROUND(S100,10)- 500000)*0.2,0),  IF(MROUND(S100,10)&gt; 1000000,  ROUND(130000+ABS(MROUND(S100,10)- 1000000)*0.3,0),0)))), IF(OR(B100="2014-2015", B100="2015-2016",B100="2016-2017"), IF(MROUND(S100,10)&lt;= 250000, 0, IF(AND(MROUND(S100,10)&gt; 250000, MROUND(S100,10)&lt;= 500000), ROUND(ABS(MROUND(S100,10)- 250000)*0.1,0), IF(AND(MROUND(S100,10)&gt; 500000, MROUND(S100,10)&lt;= 1000000),  ROUND(25000+ ABS(MROUND(S100,10)- 500000)*0.2,0),  IF(MROUND(S100,10)&gt; 1000000,  ROUND(125000+ABS(MROUND(S100,10)- 1000000)*0.3,0), 0)))),IF(OR(B100="2017-2018",B100="2018-2019",B100="2019-2020",AND(B100="2020-2021",'Basic Information'!$AG$12="No"),AND(B100="2021-2022",'Basic Information'!$AG$15="No"),AND(B100="2022-2023",'Basic Information'!$AG$18="No"),AND(B100="2023-2024",'Basic Information'!$AG$21="Yes"),AND(B100="2024-2025",'Basic Information'!$AG$24="Yes")), IF(MROUND(S100,10)&lt;= 250000, 0, IF(AND(MROUND(S100,10)&gt; 250000, MROUND(S100,10)&lt;= 500000), ROUND(ABS(MROUND(S100,10)- 250000)*0.05,0), IF(AND(MROUND(S100,10)&gt; 500000, MROUND(S100,10)&lt;= 1000000),  ROUND(12500+ ABS(MROUND(S100,10)- 500000)*0.2,0),  IF(MROUND(S100,10)&gt; 1000000,  ROUND(112500+ABS(MROUND(S100,10)- 1000000)*0.3,0), 0)))),IF(OR(AND(B100="2020-2021",'Basic Information'!$AG$12="Yes"),AND(B100="2021-2022",'Basic Information'!$AG$15="Yes"),AND(B100="2022-2023",'Basic Information'!$AG$18="Yes")), IF(MROUND(S100,10)&lt;= 250000, 0, IF(AND(MROUND(S100,10)&gt; 250000, MROUND(S100,10)&lt;= 500000), ROUND(ABS(MROUND(S100,10)- 250000)*0.05,0), IF(AND(MROUND(S100,10)&gt; 500000, MROUND(S100,10)&lt;= 750000),  ROUND(12500+ ABS(MROUND(S100,10)- 500000)*0.1,0), IF(AND(MROUND(S100,10)&gt; 750000, MROUND(S100,10)&lt;= 1000000),  ROUND(37500+ ABS(MROUND(S100,10)- 750000)*0.15,0),IF(AND(MROUND(S100,10)&gt; 1000000, MROUND(S100,10)&lt;= 1250000),  ROUND(75000+ ABS(MROUND(S100,10)- 1000000)*0.2,0),IF(AND(MROUND(S100,10)&gt; 1250000, MROUND(S100,10)&lt;= 1500000),  ROUND(125000+ ABS(MROUND(S100,10)- 1250000)*0.25,0), IF(MROUND(S100,10)&gt; 1500000,  ROUND(187500+ABS(MROUND(S100,10)- 1500000)*0.3,0), 0))))))),IF(AND(B100="2023-2024",'Basic Information'!$AG$21="No"), IF(MROUND(S100,10)&lt;= 300000, 0, IF(AND(MROUND(S100,10)&gt; 300000, MROUND(S100,10)&lt;= 600000), ROUND(ABS(MROUND(S100,10)- 300000)*0.05,0), IF(AND(MROUND(S100,10)&gt; 600000, MROUND(S100,10)&lt;= 900000),  ROUND(15000+ ABS(MROUND(S100,10)- 600000)*0.1,0), IF(AND(MROUND(S100,10)&gt; 900000, MROUND(S100,10)&lt;= 1200000),  ROUND(45000+ ABS(MROUND(S100,10)- 900000)*0.15,0),IF(AND(MROUND(S100,10)&gt; 1200000, MROUND(S100,10)&lt;= 1500000),  ROUND(90000+ ABS(MROUND(S100,10)- 1200000)*0.2,0), IF(MROUND(S100,10)&gt; 1500000,  ROUND(150000+ABS(MROUND(S100,10)- 1500000)*0.3,0), 0)))))),IF(AND(B100="2024-2025",'Basic Information'!$AG$24="No"), IF(MROUND(S100,10)&lt;= 300000, 0, IF(AND(MROUND(S100,10)&gt; 300000, MROUND(S100,10)&lt;= 700000), ROUND(ABS(MROUND(S100,10)- 300000)*0.05,0), IF(AND(MROUND(S100,10)&gt; 700000, MROUND(S100,10)&lt;= 1000000),  ROUND(20000+ ABS(MROUND(S100,10)- 700000)*0.1,0), IF(AND(MROUND(S100,10)&gt; 1000000, MROUND(S100,10)&lt;= 1200000),  ROUND(50000+ ABS(MROUND(S100,10)- 1000000)*0.15,0),IF(AND(MROUND(S100,10)&gt; 1200000, MROUND(S100,10)&lt;= 1500000),  ROUND(80000+ ABS(MROUND(S100,10)- 1200000)*0.2,0), IF(MROUND(S100,10)&gt; 1500000,  ROUND(140000+ABS(MROUND(S100,10)- 1500000)*0.3,0), 0)))))),0)))))))))))))))))</f>
        <v>0</v>
      </c>
      <c r="AY100" s="6">
        <f>IF(OR(B100="2013-2014",B100="2014-2015",B100="2015-2016"),IF(AND(MROUND(S100,10)&lt;=500000,MROUND(S100,10)&lt;&gt;0),IF(AX100&lt;=2000, AX100,2000),0), IF(B100="2016-2017",IF(AND(MROUND(S100,10)&lt;=500000, MROUND(S100,10)&lt;&gt;0),IF(AX100&lt;=5000, AX100,5000),0), IF(OR(B100="2017-2018",B100="2018-2019"),IF(AND(MROUND(S100,10)&lt;=350000,MROUND(S100,10)&lt;&gt;0),IF(AX100&lt;=2500, AX100,2500),0), IF(OR(B100="2019-2020",B100="2020-2021",B100="2021-2022",B100="2022-2023",AND(B100="2023-2024",'Basic Information'!$AG$21="Yes"),AND(B100="2024-2025",'Basic Information'!$AG$24="Yes")),IF(AND(MROUND(S100,10)&lt;=500000,MROUND(S100,10)&lt;&gt;0),IF(AX100&lt;=12500, AX100,12500),0), IF(OR(AND(B100="2023-2024",'Basic Information'!$AG$21="No")),IF(AND(MROUND(S100,10)&lt;=700000,MROUND(S100,10)&lt;&gt;0),IF(AX100&lt;=25000, AX100,25000),IF(AND(MROUND(S100,10)&lt;&gt;0,(MROUND(S100,10)-700000)&lt;= AX100), AX100-(MROUND(S100,10)-700000),0)), IF(OR(AND(B100="2024-2025",'Basic Information'!$AG$24="No")),IF(AND(MROUND(S100,10)&lt;=700000,MROUND(S100,10)&lt;&gt;0),IF(AX100&lt;=20000, AX100,20000),IF(AND(MROUND(S100,10)&lt;&gt;0,(MROUND(S100,10)-700000)&lt;= AX100), AX100-(MROUND(S100,10)-700000),0)),0))))))</f>
        <v>0</v>
      </c>
      <c r="AZ100" s="6">
        <f t="shared" si="7"/>
        <v>0</v>
      </c>
      <c r="BA100" s="6">
        <f t="shared" si="8"/>
        <v>0</v>
      </c>
    </row>
    <row r="101" spans="2:53" x14ac:dyDescent="0.3">
      <c r="B101" s="545" t="str">
        <f>IF(ISBLANK('Form 10E - Old Scheme'!B101),"",'Form 10E - Old Scheme'!B101)</f>
        <v/>
      </c>
      <c r="C101" s="546"/>
      <c r="D101" s="546"/>
      <c r="E101" s="546"/>
      <c r="F101" s="547"/>
      <c r="G101" s="458">
        <f>IF(ISNUMBER('Form 10E - Old Scheme'!G101),'Form 10E - Old Scheme'!G101,0)</f>
        <v>0</v>
      </c>
      <c r="H101" s="459"/>
      <c r="I101" s="459"/>
      <c r="J101" s="459"/>
      <c r="K101" s="459"/>
      <c r="L101" s="460"/>
      <c r="M101" s="458">
        <f>IF(ISNUMBER('Form 10E - Old Scheme'!M101),'Form 10E - Old Scheme'!M101,0)</f>
        <v>0</v>
      </c>
      <c r="N101" s="459"/>
      <c r="O101" s="459"/>
      <c r="P101" s="459"/>
      <c r="Q101" s="459"/>
      <c r="R101" s="460"/>
      <c r="S101" s="458">
        <f>SUM(G101,M101)</f>
        <v>0</v>
      </c>
      <c r="T101" s="459"/>
      <c r="U101" s="459"/>
      <c r="V101" s="459"/>
      <c r="W101" s="459"/>
      <c r="X101" s="460"/>
      <c r="Y101" s="458">
        <f>MROUND(SUM(AV101,AW101),10)</f>
        <v>0</v>
      </c>
      <c r="Z101" s="459"/>
      <c r="AA101" s="459"/>
      <c r="AB101" s="459"/>
      <c r="AC101" s="459"/>
      <c r="AD101" s="460"/>
      <c r="AE101" s="458">
        <f>SUM(AZ101,BA101)</f>
        <v>0</v>
      </c>
      <c r="AF101" s="459"/>
      <c r="AG101" s="459"/>
      <c r="AH101" s="459"/>
      <c r="AI101" s="459"/>
      <c r="AJ101" s="461"/>
      <c r="AK101" s="462">
        <f t="shared" si="0"/>
        <v>0</v>
      </c>
      <c r="AL101" s="463"/>
      <c r="AM101" s="463"/>
      <c r="AN101" s="463"/>
      <c r="AO101" s="463"/>
      <c r="AP101" s="464"/>
      <c r="AQ101" s="36" t="str">
        <f t="shared" si="9"/>
        <v/>
      </c>
      <c r="AT101" s="6">
        <f>IF( AND(OR(B101="2005-2006",B101="2006-2007"),$U$22&lt;&gt;"Female"),IF( MROUND(G101,10)&lt;= 100000, 0, IF(AND(MROUND(G101,10)&gt; 100000,MROUND(G101,10)&lt;= 150000),  ROUND(ABS(MROUND(G101,10)- 100000)*0.1,0), IF(AND(MROUND(G101,10)&gt; 150000, MROUND(G101,10)&lt;= 250000), ROUND(5000+ ABS(MROUND(G101,10)- 150000)*0.2,0),IF(MROUND(G101,10)&gt; 250000,  ROUND(25000+ABS(MROUND(G101,10)- 250000)*0.3,0),  0)))),IF(AND(OR(B101="2005-2006",B101="2006-2007"),$U$22="Female"),IF(MROUND(G101,10)&lt;= 135000, 0, IF(AND(MROUND(G101,10)&gt; 135000, MROUND(G101,10)&lt;= 150000), ROUND(ABS(MROUND(G101,10)- 135000)*0.1,0), IF(AND(MROUND(G101,10)&gt; 150000, MROUND(G101,10)&lt;= 250000), ROUND(1500+ ABS(MROUND(G101,10)- 150000)*0.2,0),  IF(MROUND(G101,10)&gt; 250000, ROUND(21500+ABS(MROUND(G101,10)- 250000)*0.3,0),0)))),IF(AND(B101="2007-2008",$U$22&lt;&gt;"Female"), IF(MROUND(G101,10)&lt;= 110000,  0,  IF(AND(MROUND(G101,10)&gt; 110000, MROUND(G101,10)&lt;= 150000), ROUND(ABS(MROUND(G101,10)- 110000)*0.1,0),  IF(AND(MROUND(G101,10)&gt; 150000, MROUND(G101,10)&lt;= 250000),  ROUND(4000+ ABS(MROUND(G101,10)- 150000)*0.2,0),   IF(MROUND(G101,10)&gt; 250000,   ROUND(24000+ABS(MROUND(G101,10)- 250000)*0.3,0),0)))),IF(AND(B101="2007-2008",$U$22="Female"), IF(MROUND(G101,10)&lt;= 145000, 0, IF(AND(MROUND(G101,10)&gt; 145000, MROUND(G101,10)&lt;= 150000),     ROUND(ABS(MROUND(G101,10)- 145000)*0.1,0),  IF(AND(MROUND(G101,10)&gt; 150000, MROUND(G101,10)&lt;= 250000),  ROUND(500+ ABS(MROUND(G101,10)- 150000)*0.2,0),  IF(MROUND(G101,10)&gt; 250000, ROUND(20500+ABS(MROUND(G101,10)- 250000)*0.3,0),0)))), IF(AND(B101="2008-2009",$U$22&lt;&gt;"Female"), IF(MROUND(G101,10)&lt;= 150000, 0, IF(AND(MROUND(G101,10)&gt; 150000, MROUND(G101,10)&lt;= 300000), ROUND(ABS(MROUND(G101,10)- 150000)*0.1,0), IF(AND(MROUND(G101,10)&gt; 300000, MROUND(G101,10)&lt;= 500000),  ROUND(15000+ ABS(MROUND(G101,10)- 300000)*0.2,0),  IF(MROUND(G101,10)&gt; 500000,  ROUND(55000+ABS(MROUND(G101,10)- 500000)*0.3,0),0)))), IF(AND(B101="2008-2009",$U$22="Female"), IF(MROUND(G101,10)&lt;= 180000, 0, IF(AND(MROUND(G101,10)&gt; 180000, MROUND(G101,10)&lt;= 300000), ROUND(ABS(MROUND(G101,10)- 180000)*0.1,0), IF(AND(MROUND(G101,10)&gt; 300000, MROUND(G101,10)&lt;= 500000), ROUND(12000+ ABS(MROUND(G101,10)- 300000)*0.2,0),  IF(MROUND(G101,10)&gt; 500000,  ROUND(52000+ABS(MROUND(G101,10)- 500000)*0.3,0),0)))), IF(AND(B101="2009-2010", $U$22&lt;&gt;"Female"), IF(MROUND(G101,10)&lt;= 160000, 0, IF(AND(MROUND(G101,10)&gt; 160000, MROUND(G101,10)&lt;= 300000),ROUND(ABS(MROUND(G101,10)- 160000)*0.1,0), IF(AND(MROUND(G101,10)&gt; 300000, MROUND(G101,10)&lt;= 500000),ROUND(14000+ ABS(MROUND(G101,10)- 300000)*0.2,0),  IF(MROUND(G101,10)&gt; 500000, ROUND(54000+ABS(MROUND(G101,10)- 500000)*0.3,0),0)))),IF(AND(B101="2009-2010",$U$22="Female"), IF(MROUND(G101,10)&lt;= 190000, 0, IF(AND(MROUND(G101,10)&gt; 190000, MROUND(G101,10)&lt;= 300000),ROUND(ABS(MROUND(G101,10)- 190000)*0.1,0), IF(AND(MROUND(G101,10)&gt; 300000, MROUND(G101,10)&lt;= 500000), ROUND(11000+ ABS(MROUND(G101,10)- 300000)*0.2,0),IF(MROUND(G101,10)&gt; 500000,  ROUND(51000+ABS(MROUND(G101,10)- 500000)*0.3,0),0)))), IF(AND(B101="2010-2011",$U$22&lt;&gt;"Female"), IF(MROUND(G101,10)&lt;= 160000, 0, IF(AND(MROUND(G101,10)&gt; 160000, MROUND(G101,10)&lt;= 500000), ROUND(ABS(MROUND(G101,10)- 160000)*0.1,0), IF(AND(MROUND(G101,10)&gt; 500000, MROUND(G101,10)&lt;= 800000), ROUND(34000+ ABS(MROUND(G101,10)- 500000)*0.2,0),  IF(MROUND(G101,10)&gt; 800000,  ROUND(94000+ABS(MROUND(G101,10)- 800000)*0.3,0),0)))), IF(AND(OR(B101="2010-2011",B101="2011-2012"),$U$22="Female"), IF(MROUND(G101,10)&lt;= 190000, 0, IF(AND(MROUND(G101,10)&gt; 190000, MROUND(G101,10)&lt;= 500000), ROUND(ABS(MROUND(G101,10)- 190000)*0.1,0), IF(AND(MROUND(G101,10)&gt; 500000, MROUND(G101,10)&lt;= 800000),  ROUND(31000+ ABS(MROUND(G101,10)- 500000)*0.2,0),  IF(MROUND(G101,10)&gt; 800000,  ROUND(91000+ABS(MROUND(G101,10)- 800000)*0.3,0),0)))), IF(AND(B101="2011-2012", $U$22&lt;&gt;"Female"), IF(MROUND(G101,10)&lt;= 180000, 0, IF(AND(MROUND(G101,10)&gt; 180000, MROUND(G101,10)&lt;= 500000), ROUND(ABS(MROUND(G101,10)- 180000)*0.1,0), IF(AND(MROUND(G101,10)&gt; 500000, MROUND(G101,10)&lt;= 800000),  ROUND(32000+ ABS(MROUND(G101,10)- 500000)*0.2,0),  IF(MROUND(G101,10)&gt; 800000,  ROUND(92000+ABS(MROUND(G101,10)- 800000)*0.3,0),0)))), IF(OR(B101="2012-2013",B101="2013-2014"), IF(MROUND(G101,10)&lt;= 200000, 0, IF(AND(MROUND(G101,10)&gt; 200000, MROUND(G101,10)&lt;= 500000), ROUND(ABS(MROUND(G101,10)- 200000)*0.1,0), IF(AND(MROUND(G101,10)&gt; 500000, MROUND(G101,10)&lt;= 1000000),  ROUND(30000+ ABS(MROUND(G101,10)- 500000)*0.2,0),  IF(MROUND(G101,10)&gt; 1000000,  ROUND(130000+ABS(MROUND(G101,10)- 1000000)*0.3,0),0)))), IF(OR(B101="2014-2015", B101="2015-2016",B101="2016-2017"), IF(MROUND(G101,10)&lt;= 250000, 0, IF(AND(MROUND(G101,10)&gt; 250000, MROUND(G101,10)&lt;= 500000), ROUND(ABS(MROUND(G101,10)- 250000)*0.1,0), IF(AND(MROUND(G101,10)&gt; 500000, MROUND(G101,10)&lt;= 1000000),  ROUND(25000+ ABS(MROUND(G101,10)- 500000)*0.2,0),  IF(MROUND(G101,10)&gt; 1000000,  ROUND(125000+ABS(MROUND(G101,10)- 1000000)*0.3,0), 0)))), IF(OR(B101="2017-2018",B101="2018-2019",B101="2019-2020",AND(B101="2020-2021",'Basic Information'!$AG$12="No"),AND(B101="2021-2022",'Basic Information'!$AG$15="No"),AND(B101="2022-2023",'Basic Information'!$AG$18="No"),AND(B101="2023-2024",'Basic Information'!$AG$21="Yes"),AND(B101="2024-2025",'Basic Information'!$AG$24="Yes")), IF(MROUND(G101,10)&lt;= 250000, 0, IF(AND(MROUND(G101,10)&gt; 250000, MROUND(G101,10)&lt;= 500000), ROUND(ABS(MROUND(G101,10)- 250000)*0.05,0), IF(AND(MROUND(G101,10)&gt; 500000, MROUND(G101,10)&lt;= 1000000),  ROUND(12500+ ABS(MROUND(G101,10)- 500000)*0.2,0),  IF(MROUND(G101,10)&gt; 1000000,  ROUND(112500+ABS(MROUND(G101,10)- 1000000)*0.3,0), 0)))),IF(OR(AND(B101="2020-2021",'Basic Information'!$AG$12="Yes"),AND(B101="2021-2022",'Basic Information'!$AG$15="Yes"),AND(B101="2022-2023",'Basic Information'!$AG$18="Yes")), IF(MROUND(G101,10)&lt;= 250000, 0, IF(AND(MROUND(G101,10)&gt; 250000, MROUND(G101,10)&lt;= 500000), ROUND(ABS(MROUND(G101,10)- 250000)*0.05,0), IF(AND(MROUND(G101,10)&gt; 500000, MROUND(G101,10)&lt;= 750000),  ROUND(12500+ ABS(MROUND(G101,10)- 500000)*0.1,0), IF(AND(MROUND(G101,10)&gt; 750000, MROUND(G101,10)&lt;= 1000000),  ROUND(37500+ ABS(MROUND(G101,10)- 750000)*0.15,0),IF(AND(MROUND(G101,10)&gt; 1000000, MROUND(G101,10)&lt;= 1250000),  ROUND(75000+ ABS(MROUND(G101,10)- 1000000)*0.2,0),IF(AND(MROUND(G101,10)&gt; 1250000, MROUND(G101,10)&lt;= 1500000),  ROUND(125000+ ABS(MROUND(G101,10)- 1250000)*0.25,0), IF(MROUND(G101,10)&gt; 1500000,  ROUND(187500+ABS(MROUND(G101,10)- 1500000)*0.3,0), 0))))))),IF(AND(B101="2023-2024",'Basic Information'!$AG$21="No"), IF(MROUND(G101,10)&lt;= 300000, 0, IF(AND(MROUND(G101,10)&gt; 300000, MROUND(G101,10)&lt;= 600000), ROUND(ABS(MROUND(G101,10)- 300000)*0.05,0), IF(AND(MROUND(G101,10)&gt; 600000, MROUND(G101,10)&lt;= 900000),  ROUND(15000+ ABS(MROUND(G101,10)- 600000)*0.1,0), IF(AND(MROUND(G101,10)&gt; 900000, MROUND(G101,10)&lt;= 1200000),  ROUND(45000+ ABS(MROUND(G101,10)- 900000)*0.15,0),IF(AND(MROUND(G101,10)&gt; 1200000, MROUND(G101,10)&lt;= 1500000),  ROUND(90000+ ABS(MROUND(G101,10)- 1200000)*0.2,0), IF(MROUND(G101,10)&gt; 1500000,  ROUND(150000+ABS(MROUND(G101,10)- 1500000)*0.3,0), 0)))))),IF(AND(B101="2024-2025",'Basic Information'!$AG$24="No"), IF(MROUND(G101,10)&lt;= 300000, 0, IF(AND(MROUND(G101,10)&gt; 300000, MROUND(G101,10)&lt;= 700000), ROUND(ABS(MROUND(G101,10)- 300000)*0.05,0), IF(AND(MROUND(G101,10)&gt; 700000, MROUND(G101,10)&lt;= 1000000),  ROUND(20000+ ABS(MROUND(G101,10)- 700000)*0.1,0), IF(AND(MROUND(G101,10)&gt; 1000000, MROUND(G101,10)&lt;= 1200000),  ROUND(50000+ ABS(MROUND(G101,10)- 1000000)*0.15,0),IF(AND(MROUND(G101,10)&gt; 1200000, MROUND(G101,10)&lt;= 1500000),  ROUND(80000+ ABS(MROUND(G101,10)- 1200000)*0.2,0), IF(MROUND(G101,10)&gt; 1500000,  ROUND(140000+ABS(MROUND(G101,10)- 1500000)*0.3,0), 0)))))),0)))))))))))))))))</f>
        <v>0</v>
      </c>
      <c r="AU101" s="6">
        <f>IF(OR(B101="2013-2014",B101="2014-2015",B101="2015-2016"),IF(AND(MROUND(G101,10)&lt;=500000,MROUND(G101,10)&lt;&gt;0),IF(AT101&lt;=2000, AT101,2000),0), IF(B101="2016-2017",IF(AND(MROUND(G101,10)&lt;=500000,MROUND(G101,10)&lt;&gt;0),IF(AT101&lt;=5000, AT101,5000),0), IF(OR(B101="2017-2018",B101="2018-2019"),IF(AND(MROUND(G101,10)&lt;=350000,MROUND(G101,10)&lt;&gt;0),IF(AT101&lt;=2500, AT101,2500),0), IF(OR(B101="2019-2020",B101="2020-2021",B101="2021-2022",B101="2022-2023",AND(B101="2023-2024",'Basic Information'!$AG$21="Yes"),AND(B101="2024-2025",'Basic Information'!$AG$24="Yes")),IF(AND(MROUND(G101,10)&lt;=500000,MROUND(G101,10)&lt;&gt;0),IF(AT101&lt;=12500, AT101,12500),0), IF(OR(AND(B101="2023-2024",'Basic Information'!$AG$21="No")),IF(AND(MROUND(G101,10)&lt;=700000,MROUND(G101,10)&lt;&gt;0),IF(AT101&lt;=25000, AT101,25000),IF(AND(MROUND(G101,10)&lt;&gt;0,(MROUND(G101,10)-700000)&lt;=AT101),AT101-(MROUND(G101,10)-700000),0)), IF(OR(AND(B101="2024-2025",'Basic Information'!$AG$24="No")),IF(AND(MROUND(G101,10)&lt;=700000,MROUND(G101,10)&lt;&gt;0),IF(AT101&lt;=20000, AT101,20000),IF(AND(MROUND(G101,10)&lt;&gt;0,(MROUND(G101,10)-700000)&lt;=AT101),AT101-(MROUND(G101,10)-700000),0)),0))))))</f>
        <v>0</v>
      </c>
      <c r="AV101" s="6">
        <f t="shared" si="5"/>
        <v>0</v>
      </c>
      <c r="AW101" s="6">
        <f t="shared" si="6"/>
        <v>0</v>
      </c>
      <c r="AX101" s="6">
        <f>IF( AND(OR(B101="2005-2006",B101="2006-2007"),$U$22&lt;&gt;"Female"),IF( MROUND(S101,10)&lt;= 100000, 0, IF(AND(MROUND(S101,10)&gt; 100000,MROUND(S101,10)&lt;= 150000),  ROUND(ABS(MROUND(S101,10)- 100000)*0.1,0), IF(AND(MROUND(S101,10)&gt; 150000, MROUND(S101,10)&lt;= 250000), ROUND(5000+ ABS(MROUND(S101,10)- 150000)*0.2,0),IF(MROUND(S101,10)&gt; 250000,  ROUND(25000+ABS(MROUND(S101,10)- 250000)*0.3,0),  0)))),IF(AND(OR(B101="2005-2006",B101="2006-2007"),$U$22="Female"),IF(MROUND(S101,10)&lt;= 135000, 0, IF(AND(MROUND(S101,10)&gt; 135000, MROUND(S101,10)&lt;= 150000), ROUND(ABS(MROUND(S101,10)- 135000)*0.1,0), IF(AND(MROUND(S101,10)&gt; 150000, MROUND(S101,10)&lt;= 250000), ROUND(1500+ ABS(MROUND(S101,10)- 150000)*0.2,0),  IF(MROUND(S101,10)&gt; 250000, ROUND(21500+ABS(MROUND(S101,10)- 250000)*0.3,0),0)))),IF(AND(B101="2007-2008",$U$22&lt;&gt;"Female"), IF(MROUND(S101,10)&lt;= 110000,  0,  IF(AND(MROUND(S101,10)&gt; 110000, MROUND(S101,10)&lt;= 150000),     ROUND(ABS(MROUND(S101,10)- 110000)*0.1,0),  IF(AND(MROUND(S101,10)&gt; 150000, MROUND(S101,10)&lt;= 250000),  ROUND(4000+ ABS(MROUND(S101,10)- 150000)*0.2,0),   IF(MROUND(S101,10)&gt; 250000,   ROUND(24000+ABS(MROUND(S101,10)- 250000)*0.3,0),0)))),IF(AND(B101="2007-2008",$U$22="Female"), IF(MROUND(S101,10)&lt;= 145000, 0, IF(AND(MROUND(S101,10)&gt; 145000, MROUND(S101,10)&lt;= 150000),     ROUND(ABS(MROUND(S101,10)- 145000)*0.1,0),  IF(AND(MROUND(S101,10)&gt; 150000, MROUND(S101,10)&lt;= 250000),  ROUND(500+ ABS(MROUND(S101,10)- 150000)*0.2,0),  IF(MROUND(S101,10)&gt; 250000, ROUND(20500+ABS(MROUND(S101,10)- 250000)*0.3,0),0)))), IF(AND(B101="2008-2009",$U$22&lt;&gt;"Female"), IF(MROUND(S101,10)&lt;= 150000, 0, IF(AND(MROUND(S101,10)&gt; 150000, MROUND(S101,10)&lt;= 300000), ROUND(ABS(MROUND(S101,10)- 150000)*0.1,0), IF(AND(MROUND(S101,10)&gt; 300000, MROUND(S101,10)&lt;= 500000),  ROUND(15000+ ABS(MROUND(S101,10)- 300000)*0.2,0),  IF(MROUND(S101,10)&gt; 500000,  ROUND(55000+ABS(MROUND(S101,10)- 500000)*0.3,0),0)))), IF(AND(B101="2008-2009",$U$22="Female"), IF(MROUND(S101,10)&lt;= 180000, 0, IF(AND(MROUND(S101,10)&gt; 180000, MROUND(S101,10)&lt;= 300000), ROUND(ABS(MROUND(S101,10)- 180000)*0.1,0), IF(AND(MROUND(S101,10)&gt; 300000, MROUND(S101,10)&lt;= 500000), ROUND(12000+ ABS(MROUND(S101,10)- 300000)*0.2,0),  IF(MROUND(S101,10)&gt; 500000,  ROUND(52000+ABS(MROUND(S101,10)- 500000)*0.3,0),0)))), IF(AND(B101="2009-2010", $U$22&lt;&gt;"Female"), IF(MROUND(S101,10)&lt;= 160000, 0, IF(AND(MROUND(S101,10)&gt; 160000, MROUND(S101,10)&lt;= 300000),ROUND(ABS(MROUND(S101,10)- 160000)*0.1,0), IF(AND(MROUND(S101,10)&gt; 300000, MROUND(S101,10)&lt;= 500000),ROUND(14000+ ABS(MROUND(S101,10)- 300000)*0.2,0),  IF(MROUND(S101,10)&gt; 500000, ROUND(54000+ABS(MROUND(S101,10)- 500000)*0.3,0),0)))),IF(AND(B101="2009-2010",$U$22="Female"), IF(MROUND(S101,10)&lt;= 190000, 0, IF(AND(MROUND(S101,10)&gt; 190000, MROUND(S101,10)&lt;= 300000),ROUND(ABS(MROUND(S101,10)- 190000)*0.1,0), IF(AND(MROUND(S101,10)&gt; 300000, MROUND(S101,10)&lt;= 500000), ROUND(11000+ ABS(MROUND(S101,10)- 300000)*0.2,0),IF(MROUND(S101,10)&gt; 500000,  ROUND(51000+ABS(MROUND(S101,10)- 500000)*0.3,0),0)))), IF(AND(B101="2010-2011",$U$22&lt;&gt;"Female"), IF(MROUND(S101,10)&lt;= 160000, 0, IF(AND(MROUND(S101,10)&gt; 160000, MROUND(S101,10)&lt;= 500000), ROUND(ABS(MROUND(S101,10)- 160000)*0.1,0), IF(AND(MROUND(S101,10)&gt; 500000, MROUND(S101,10)&lt;= 800000), ROUND(34000+ ABS(MROUND(S101,10)- 500000)*0.2,0),  IF(MROUND(S101,10)&gt; 800000,  ROUND(94000+ABS(MROUND(S101,10)- 800000)*0.3,0),0)))), IF(AND(OR(B101="2010-2011",B101="2011-2012"),$U$22="Female"), IF(MROUND(S101,10)&lt;= 190000, 0, IF(AND(MROUND(S101,10)&gt; 190000, MROUND(S101,10)&lt;= 500000), ROUND(ABS(MROUND(S101,10)- 190000)*0.1,0), IF(AND(MROUND(S101,10)&gt; 500000, MROUND(S101,10)&lt;= 800000),  ROUND(31000+ ABS(MROUND(S101,10)- 500000)*0.2,0),  IF(MROUND(S101,10)&gt; 800000,  ROUND(91000+ABS(MROUND(S101,10)- 800000)*0.3,0),0)))), IF(AND(B101="2011-2012", $U$22&lt;&gt;"Female"), IF(MROUND(S101,10)&lt;= 180000, 0, IF(AND(MROUND(S101,10)&gt; 180000, MROUND(S101,10)&lt;= 500000), ROUND(ABS(MROUND(S101,10)- 180000)*0.1,0), IF(AND(MROUND(S101,10)&gt; 500000, MROUND(S101,10)&lt;= 800000),  ROUND(32000+ ABS(MROUND(S101,10)- 500000)*0.2,0),  IF(MROUND(S101,10)&gt; 800000,  ROUND(92000+ABS(MROUND(S101,10)- 800000)*0.3,0),0)))), IF(OR(B101="2012-2013",B101="2013-2014"), IF(MROUND(S101,10)&lt;= 200000, 0, IF(AND(MROUND(S101,10)&gt; 200000, MROUND(S101,10)&lt;= 500000), ROUND(ABS(MROUND(S101,10)- 200000)*0.1,0), IF(AND(MROUND(S101,10)&gt; 500000, MROUND(S101,10)&lt;= 1000000),  ROUND(30000+ ABS(MROUND(S101,10)- 500000)*0.2,0),  IF(MROUND(S101,10)&gt; 1000000,  ROUND(130000+ABS(MROUND(S101,10)- 1000000)*0.3,0),0)))), IF(OR(B101="2014-2015", B101="2015-2016",B101="2016-2017"), IF(MROUND(S101,10)&lt;= 250000, 0, IF(AND(MROUND(S101,10)&gt; 250000, MROUND(S101,10)&lt;= 500000), ROUND(ABS(MROUND(S101,10)- 250000)*0.1,0), IF(AND(MROUND(S101,10)&gt; 500000, MROUND(S101,10)&lt;= 1000000),  ROUND(25000+ ABS(MROUND(S101,10)- 500000)*0.2,0),  IF(MROUND(S101,10)&gt; 1000000,  ROUND(125000+ABS(MROUND(S101,10)- 1000000)*0.3,0), 0)))),IF(OR(B101="2017-2018",B101="2018-2019",B101="2019-2020",AND(B101="2020-2021",'Basic Information'!$AG$12="No"),AND(B101="2021-2022",'Basic Information'!$AG$15="No"),AND(B101="2022-2023",'Basic Information'!$AG$18="No"),AND(B101="2023-2024",'Basic Information'!$AG$21="Yes"),AND(B101="2024-2025",'Basic Information'!$AG$24="Yes")), IF(MROUND(S101,10)&lt;= 250000, 0, IF(AND(MROUND(S101,10)&gt; 250000, MROUND(S101,10)&lt;= 500000), ROUND(ABS(MROUND(S101,10)- 250000)*0.05,0), IF(AND(MROUND(S101,10)&gt; 500000, MROUND(S101,10)&lt;= 1000000),  ROUND(12500+ ABS(MROUND(S101,10)- 500000)*0.2,0),  IF(MROUND(S101,10)&gt; 1000000,  ROUND(112500+ABS(MROUND(S101,10)- 1000000)*0.3,0), 0)))),IF(OR(AND(B101="2020-2021",'Basic Information'!$AG$12="Yes"),AND(B101="2021-2022",'Basic Information'!$AG$15="Yes"),AND(B101="2022-2023",'Basic Information'!$AG$18="Yes")), IF(MROUND(S101,10)&lt;= 250000, 0, IF(AND(MROUND(S101,10)&gt; 250000, MROUND(S101,10)&lt;= 500000), ROUND(ABS(MROUND(S101,10)- 250000)*0.05,0), IF(AND(MROUND(S101,10)&gt; 500000, MROUND(S101,10)&lt;= 750000),  ROUND(12500+ ABS(MROUND(S101,10)- 500000)*0.1,0), IF(AND(MROUND(S101,10)&gt; 750000, MROUND(S101,10)&lt;= 1000000),  ROUND(37500+ ABS(MROUND(S101,10)- 750000)*0.15,0),IF(AND(MROUND(S101,10)&gt; 1000000, MROUND(S101,10)&lt;= 1250000),  ROUND(75000+ ABS(MROUND(S101,10)- 1000000)*0.2,0),IF(AND(MROUND(S101,10)&gt; 1250000, MROUND(S101,10)&lt;= 1500000),  ROUND(125000+ ABS(MROUND(S101,10)- 1250000)*0.25,0), IF(MROUND(S101,10)&gt; 1500000,  ROUND(187500+ABS(MROUND(S101,10)- 1500000)*0.3,0), 0))))))),IF(AND(B101="2023-2024",'Basic Information'!$AG$21="No"), IF(MROUND(S101,10)&lt;= 300000, 0, IF(AND(MROUND(S101,10)&gt; 300000, MROUND(S101,10)&lt;= 600000), ROUND(ABS(MROUND(S101,10)- 300000)*0.05,0), IF(AND(MROUND(S101,10)&gt; 600000, MROUND(S101,10)&lt;= 900000),  ROUND(15000+ ABS(MROUND(S101,10)- 600000)*0.1,0), IF(AND(MROUND(S101,10)&gt; 900000, MROUND(S101,10)&lt;= 1200000),  ROUND(45000+ ABS(MROUND(S101,10)- 900000)*0.15,0),IF(AND(MROUND(S101,10)&gt; 1200000, MROUND(S101,10)&lt;= 1500000),  ROUND(90000+ ABS(MROUND(S101,10)- 1200000)*0.2,0), IF(MROUND(S101,10)&gt; 1500000,  ROUND(150000+ABS(MROUND(S101,10)- 1500000)*0.3,0), 0)))))),IF(AND(B101="2024-2025",'Basic Information'!$AG$24="No"), IF(MROUND(S101,10)&lt;= 300000, 0, IF(AND(MROUND(S101,10)&gt; 300000, MROUND(S101,10)&lt;= 700000), ROUND(ABS(MROUND(S101,10)- 300000)*0.05,0), IF(AND(MROUND(S101,10)&gt; 700000, MROUND(S101,10)&lt;= 1000000),  ROUND(20000+ ABS(MROUND(S101,10)- 700000)*0.1,0), IF(AND(MROUND(S101,10)&gt; 1000000, MROUND(S101,10)&lt;= 1200000),  ROUND(50000+ ABS(MROUND(S101,10)- 1000000)*0.15,0),IF(AND(MROUND(S101,10)&gt; 1200000, MROUND(S101,10)&lt;= 1500000),  ROUND(80000+ ABS(MROUND(S101,10)- 1200000)*0.2,0), IF(MROUND(S101,10)&gt; 1500000,  ROUND(140000+ABS(MROUND(S101,10)- 1500000)*0.3,0), 0)))))),0)))))))))))))))))</f>
        <v>0</v>
      </c>
      <c r="AY101" s="6">
        <f>IF(OR(B101="2013-2014",B101="2014-2015",B101="2015-2016"),IF(AND(MROUND(S101,10)&lt;=500000,MROUND(S101,10)&lt;&gt;0),IF(AX101&lt;=2000, AX101,2000),0), IF(B101="2016-2017",IF(AND(MROUND(S101,10)&lt;=500000, MROUND(S101,10)&lt;&gt;0),IF(AX101&lt;=5000, AX101,5000),0), IF(OR(B101="2017-2018",B101="2018-2019"),IF(AND(MROUND(S101,10)&lt;=350000,MROUND(S101,10)&lt;&gt;0),IF(AX101&lt;=2500, AX101,2500),0), IF(OR(B101="2019-2020",B101="2020-2021",B101="2021-2022",B101="2022-2023",AND(B101="2023-2024",'Basic Information'!$AG$21="Yes"),AND(B101="2024-2025",'Basic Information'!$AG$24="Yes")),IF(AND(MROUND(S101,10)&lt;=500000,MROUND(S101,10)&lt;&gt;0),IF(AX101&lt;=12500, AX101,12500),0), IF(OR(AND(B101="2023-2024",'Basic Information'!$AG$21="No")),IF(AND(MROUND(S101,10)&lt;=700000,MROUND(S101,10)&lt;&gt;0),IF(AX101&lt;=25000, AX101,25000),IF(AND(MROUND(S101,10)&lt;&gt;0,(MROUND(S101,10)-700000)&lt;= AX101), AX101-(MROUND(S101,10)-700000),0)), IF(OR(AND(B101="2024-2025",'Basic Information'!$AG$24="No")),IF(AND(MROUND(S101,10)&lt;=700000,MROUND(S101,10)&lt;&gt;0),IF(AX101&lt;=20000, AX101,20000),IF(AND(MROUND(S101,10)&lt;&gt;0,(MROUND(S101,10)-700000)&lt;= AX101), AX101-(MROUND(S101,10)-700000),0)),0))))))</f>
        <v>0</v>
      </c>
      <c r="AZ101" s="6">
        <f t="shared" si="7"/>
        <v>0</v>
      </c>
      <c r="BA101" s="6">
        <f t="shared" si="8"/>
        <v>0</v>
      </c>
    </row>
    <row r="102" spans="2:53" x14ac:dyDescent="0.3">
      <c r="B102" s="497" t="s">
        <v>72</v>
      </c>
      <c r="C102" s="498"/>
      <c r="D102" s="498"/>
      <c r="E102" s="498"/>
      <c r="F102" s="499"/>
      <c r="G102" s="458">
        <f>SUM(G92:G101)</f>
        <v>0</v>
      </c>
      <c r="H102" s="459"/>
      <c r="I102" s="459"/>
      <c r="J102" s="459"/>
      <c r="K102" s="459"/>
      <c r="L102" s="460"/>
      <c r="M102" s="458">
        <f>SUM(M92:M101)</f>
        <v>0</v>
      </c>
      <c r="N102" s="459"/>
      <c r="O102" s="459"/>
      <c r="P102" s="459"/>
      <c r="Q102" s="459"/>
      <c r="R102" s="460"/>
      <c r="S102" s="458">
        <f>SUM(S92:S101)</f>
        <v>0</v>
      </c>
      <c r="T102" s="459"/>
      <c r="U102" s="459"/>
      <c r="V102" s="459"/>
      <c r="W102" s="459"/>
      <c r="X102" s="460"/>
      <c r="Y102" s="458">
        <f>SUM(Y92:Y101)</f>
        <v>0</v>
      </c>
      <c r="Z102" s="459"/>
      <c r="AA102" s="459"/>
      <c r="AB102" s="459"/>
      <c r="AC102" s="459"/>
      <c r="AD102" s="460"/>
      <c r="AE102" s="458">
        <f>SUM(AE92:AE101)</f>
        <v>0</v>
      </c>
      <c r="AF102" s="459"/>
      <c r="AG102" s="459"/>
      <c r="AH102" s="459"/>
      <c r="AI102" s="459"/>
      <c r="AJ102" s="461"/>
      <c r="AK102" s="462">
        <f>SUM(AK92:AK101)</f>
        <v>0</v>
      </c>
      <c r="AL102" s="463"/>
      <c r="AM102" s="463"/>
      <c r="AN102" s="463"/>
      <c r="AO102" s="463"/>
      <c r="AP102" s="464"/>
      <c r="AQ102" s="336" t="str">
        <f>IF(AND(M102=0,AF27=0),"",IF(AND(ISNUMBER(M102),OR(ISBLANK(AF27),AF27=0)),"Please enter the amount of Salary received as arrears in the cell 1(a) at the begining of the sheet. ",IF(AF27&lt;&gt;M102,"The sum of the amounts of salary arrears distributed over different years in Table A does not match the amount entered as salary received in arrears in cell 1(a) at the beginning of the sheet.","")))</f>
        <v/>
      </c>
      <c r="AR102" s="174"/>
      <c r="AS102" s="174"/>
      <c r="AT102" s="174"/>
      <c r="AU102" s="174"/>
      <c r="AV102" s="174"/>
      <c r="AW102" s="174"/>
    </row>
    <row r="103" spans="2:53" ht="30.75" customHeight="1" x14ac:dyDescent="0.3">
      <c r="B103" s="8"/>
      <c r="AQ103" s="174"/>
      <c r="AR103" s="174"/>
      <c r="AS103" s="174"/>
      <c r="AT103" s="174"/>
      <c r="AU103" s="174"/>
      <c r="AV103" s="174"/>
      <c r="AW103" s="174"/>
    </row>
    <row r="104" spans="2:53" x14ac:dyDescent="0.3">
      <c r="B104" s="342" t="s">
        <v>73</v>
      </c>
      <c r="C104" s="342"/>
      <c r="D104" s="342"/>
      <c r="E104" s="342"/>
      <c r="F104" s="342"/>
      <c r="G104" s="342"/>
      <c r="H104" s="342"/>
      <c r="I104" s="342"/>
      <c r="J104" s="342"/>
      <c r="K104" s="342"/>
      <c r="L104" s="8" t="s">
        <v>5</v>
      </c>
      <c r="M104" s="343" t="str">
        <f>PROPER(D45)</f>
        <v xml:space="preserve"> </v>
      </c>
      <c r="N104" s="343"/>
      <c r="O104" s="343"/>
      <c r="P104" s="343"/>
      <c r="Q104" s="343"/>
      <c r="R104" s="343"/>
      <c r="S104" s="343"/>
      <c r="T104" s="343"/>
      <c r="U104" s="343"/>
      <c r="V104" s="343"/>
      <c r="W104" s="343"/>
      <c r="X104" s="343"/>
      <c r="Y104" s="343"/>
      <c r="Z104" s="343"/>
      <c r="AB104" s="344" t="s">
        <v>51</v>
      </c>
      <c r="AC104" s="344"/>
      <c r="AD104" s="344"/>
      <c r="AE104" s="344"/>
      <c r="AF104" s="344"/>
      <c r="AG104" s="344"/>
      <c r="AH104" s="344"/>
      <c r="AI104" s="344"/>
      <c r="AJ104" s="344"/>
      <c r="AK104" s="344"/>
      <c r="AL104" s="344"/>
      <c r="AM104" s="344"/>
    </row>
  </sheetData>
  <sheetProtection algorithmName="SHA-512" hashValue="NNppIKY/mFiqQLqkFoEKqz5hbnAyBDAr9RzLqq7U+g5ymsreK8613FXJ8OKoI/bzfLeNimTB9lwStVtZEWiCPw==" saltValue="VIWviWt6ybW2IGj8/VouBw==" spinCount="100000" sheet="1" objects="1" scenarios="1" selectLockedCells="1"/>
  <mergeCells count="199">
    <mergeCell ref="G99:L99"/>
    <mergeCell ref="M99:R99"/>
    <mergeCell ref="S99:X99"/>
    <mergeCell ref="Y99:AD99"/>
    <mergeCell ref="B104:K104"/>
    <mergeCell ref="M104:Z104"/>
    <mergeCell ref="AB104:AM104"/>
    <mergeCell ref="AK101:AP101"/>
    <mergeCell ref="B102:F102"/>
    <mergeCell ref="G102:L102"/>
    <mergeCell ref="M102:R102"/>
    <mergeCell ref="S102:X102"/>
    <mergeCell ref="Y102:AD102"/>
    <mergeCell ref="AE102:AJ102"/>
    <mergeCell ref="AK102:AP102"/>
    <mergeCell ref="B101:F101"/>
    <mergeCell ref="G101:L101"/>
    <mergeCell ref="M101:R101"/>
    <mergeCell ref="S101:X101"/>
    <mergeCell ref="Y101:AD101"/>
    <mergeCell ref="AE101:AJ101"/>
    <mergeCell ref="AE99:AJ99"/>
    <mergeCell ref="AK99:AP99"/>
    <mergeCell ref="B99:F99"/>
    <mergeCell ref="B98:F98"/>
    <mergeCell ref="G98:L98"/>
    <mergeCell ref="M98:R98"/>
    <mergeCell ref="S98:X98"/>
    <mergeCell ref="Y98:AD98"/>
    <mergeCell ref="AE98:AJ98"/>
    <mergeCell ref="AK96:AP96"/>
    <mergeCell ref="B97:F97"/>
    <mergeCell ref="G97:L97"/>
    <mergeCell ref="M97:R97"/>
    <mergeCell ref="S97:X97"/>
    <mergeCell ref="Y97:AD97"/>
    <mergeCell ref="AE97:AJ97"/>
    <mergeCell ref="AK97:AP97"/>
    <mergeCell ref="B96:F96"/>
    <mergeCell ref="G96:L96"/>
    <mergeCell ref="M96:R96"/>
    <mergeCell ref="S96:X96"/>
    <mergeCell ref="Y96:AD96"/>
    <mergeCell ref="AE96:AJ96"/>
    <mergeCell ref="AK98:AP98"/>
    <mergeCell ref="AK94:AP94"/>
    <mergeCell ref="B95:F95"/>
    <mergeCell ref="G95:L95"/>
    <mergeCell ref="M95:R95"/>
    <mergeCell ref="S95:X95"/>
    <mergeCell ref="Y95:AD95"/>
    <mergeCell ref="AE95:AJ95"/>
    <mergeCell ref="AK95:AP95"/>
    <mergeCell ref="B94:F94"/>
    <mergeCell ref="G94:L94"/>
    <mergeCell ref="M94:R94"/>
    <mergeCell ref="S94:X94"/>
    <mergeCell ref="Y94:AD94"/>
    <mergeCell ref="AE94:AJ94"/>
    <mergeCell ref="B91:F91"/>
    <mergeCell ref="G91:L91"/>
    <mergeCell ref="M91:R91"/>
    <mergeCell ref="S91:X91"/>
    <mergeCell ref="Y91:AD91"/>
    <mergeCell ref="AE91:AJ91"/>
    <mergeCell ref="AK91:AP91"/>
    <mergeCell ref="AK92:AP92"/>
    <mergeCell ref="C79:C81"/>
    <mergeCell ref="D79:AE81"/>
    <mergeCell ref="AF79:AN81"/>
    <mergeCell ref="Q83:X83"/>
    <mergeCell ref="O84:AA84"/>
    <mergeCell ref="B85:F90"/>
    <mergeCell ref="G85:L90"/>
    <mergeCell ref="M85:R90"/>
    <mergeCell ref="S85:X90"/>
    <mergeCell ref="Y85:AD90"/>
    <mergeCell ref="AE85:AJ90"/>
    <mergeCell ref="AK85:AP90"/>
    <mergeCell ref="B93:F93"/>
    <mergeCell ref="G93:L93"/>
    <mergeCell ref="M93:R93"/>
    <mergeCell ref="S93:X93"/>
    <mergeCell ref="Y93:AD93"/>
    <mergeCell ref="AE93:AJ93"/>
    <mergeCell ref="AK93:AP93"/>
    <mergeCell ref="B92:F92"/>
    <mergeCell ref="G92:L92"/>
    <mergeCell ref="M92:R92"/>
    <mergeCell ref="S92:X92"/>
    <mergeCell ref="Y92:AD92"/>
    <mergeCell ref="AE92:AJ92"/>
    <mergeCell ref="C73:C75"/>
    <mergeCell ref="D73:AE75"/>
    <mergeCell ref="AF73:AN75"/>
    <mergeCell ref="C76:C78"/>
    <mergeCell ref="D76:AE78"/>
    <mergeCell ref="AF76:AN78"/>
    <mergeCell ref="C69:C70"/>
    <mergeCell ref="D69:AE70"/>
    <mergeCell ref="AF69:AN70"/>
    <mergeCell ref="C71:C72"/>
    <mergeCell ref="D71:AE72"/>
    <mergeCell ref="AF71:AN72"/>
    <mergeCell ref="C64:C65"/>
    <mergeCell ref="D64:AE65"/>
    <mergeCell ref="AF64:AN65"/>
    <mergeCell ref="C66:C68"/>
    <mergeCell ref="D66:AE68"/>
    <mergeCell ref="AF66:AN68"/>
    <mergeCell ref="R57:X57"/>
    <mergeCell ref="O58:AA58"/>
    <mergeCell ref="M60:AC60"/>
    <mergeCell ref="C62:C63"/>
    <mergeCell ref="D62:AE63"/>
    <mergeCell ref="AF62:AN63"/>
    <mergeCell ref="C46:AD46"/>
    <mergeCell ref="C49:F49"/>
    <mergeCell ref="AC49:AN50"/>
    <mergeCell ref="AF38:AN39"/>
    <mergeCell ref="C27:C28"/>
    <mergeCell ref="D27:E28"/>
    <mergeCell ref="D38:E39"/>
    <mergeCell ref="F38:AE39"/>
    <mergeCell ref="C51:F51"/>
    <mergeCell ref="H51:P51"/>
    <mergeCell ref="AC51:AN51"/>
    <mergeCell ref="C40:C41"/>
    <mergeCell ref="D40:E41"/>
    <mergeCell ref="F40:AE41"/>
    <mergeCell ref="AF40:AN41"/>
    <mergeCell ref="P43:Z43"/>
    <mergeCell ref="D45:U45"/>
    <mergeCell ref="V45:AN45"/>
    <mergeCell ref="H49:U49"/>
    <mergeCell ref="C38:C39"/>
    <mergeCell ref="F27:AE28"/>
    <mergeCell ref="AF27:AN28"/>
    <mergeCell ref="C29:C31"/>
    <mergeCell ref="D29:E31"/>
    <mergeCell ref="U16:AN16"/>
    <mergeCell ref="D17:S17"/>
    <mergeCell ref="U17:AN17"/>
    <mergeCell ref="D18:S18"/>
    <mergeCell ref="U18:AN18"/>
    <mergeCell ref="D13:S13"/>
    <mergeCell ref="U13:AN13"/>
    <mergeCell ref="D14:S14"/>
    <mergeCell ref="U14:AN14"/>
    <mergeCell ref="D15:S15"/>
    <mergeCell ref="U15:AN15"/>
    <mergeCell ref="D16:S16"/>
    <mergeCell ref="B5:AN5"/>
    <mergeCell ref="D6:AN6"/>
    <mergeCell ref="B7:AN7"/>
    <mergeCell ref="B8:AN8"/>
    <mergeCell ref="C10:AN10"/>
    <mergeCell ref="AR2:AW4"/>
    <mergeCell ref="AR5:AT6"/>
    <mergeCell ref="AS7:AV8"/>
    <mergeCell ref="AR9:AV10"/>
    <mergeCell ref="B2:AN2"/>
    <mergeCell ref="B3:AN3"/>
    <mergeCell ref="D19:S19"/>
    <mergeCell ref="U19:AN19"/>
    <mergeCell ref="D20:S20"/>
    <mergeCell ref="U20:AN20"/>
    <mergeCell ref="D21:S21"/>
    <mergeCell ref="U21:AN21"/>
    <mergeCell ref="G25:Z25"/>
    <mergeCell ref="AA25:AL25"/>
    <mergeCell ref="F32:AE37"/>
    <mergeCell ref="AF32:AN37"/>
    <mergeCell ref="F29:AE31"/>
    <mergeCell ref="AF29:AN31"/>
    <mergeCell ref="AQ62:AW63"/>
    <mergeCell ref="AQ79:AW81"/>
    <mergeCell ref="AQ102:AW103"/>
    <mergeCell ref="AR11:AW12"/>
    <mergeCell ref="AR13:AW14"/>
    <mergeCell ref="AS15:AU15"/>
    <mergeCell ref="AV15:AW15"/>
    <mergeCell ref="D12:AN12"/>
    <mergeCell ref="B100:F100"/>
    <mergeCell ref="G100:L100"/>
    <mergeCell ref="M100:R100"/>
    <mergeCell ref="S100:X100"/>
    <mergeCell ref="Y100:AD100"/>
    <mergeCell ref="AE100:AJ100"/>
    <mergeCell ref="AK100:AP100"/>
    <mergeCell ref="C11:C19"/>
    <mergeCell ref="D11:S11"/>
    <mergeCell ref="U11:AN11"/>
    <mergeCell ref="D22:S22"/>
    <mergeCell ref="U22:AN22"/>
    <mergeCell ref="C32:C37"/>
    <mergeCell ref="D32:E37"/>
    <mergeCell ref="AR18:AX21"/>
    <mergeCell ref="C24:AN24"/>
  </mergeCells>
  <dataValidations count="1">
    <dataValidation type="list" allowBlank="1" showInputMessage="1" showErrorMessage="1" sqref="AA25" xr:uid="{404C1847-CA46-48DF-9B11-B5AC82011039}">
      <formula1>"Select,2025-2026,2024-2025,2023-2024,2022-2023,2021-2022,2020-2021, 2019-2020, 2018-2019, 2017-2018, 2016-2017, 2015-2016, 2014-2015, 2013-2014, 2012-2013, 2011-2012, 2010-2011, 2009-2010, 2008-2009, 2007-2008, 2006-2007"</formula1>
    </dataValidation>
  </dataValidations>
  <pageMargins left="0.59055118110236227" right="0" top="0.35433070866141736" bottom="0.35433070866141736" header="0" footer="0"/>
  <pageSetup paperSize="9" orientation="portrait" blackAndWhite="1" errors="blank" r:id="rId1"/>
  <headerFooter>
    <oddFooter>&amp;CPage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Basic Information</vt:lpstr>
      <vt:lpstr>Income Tax Proforma - Old Schem</vt:lpstr>
      <vt:lpstr>Form 10E - Old Scheme</vt:lpstr>
      <vt:lpstr>Income Tax Proforma - New Schem</vt:lpstr>
      <vt:lpstr>Form 10E - New Scheme</vt:lpstr>
      <vt:lpstr>'Basic Information'!Print_Area</vt:lpstr>
      <vt:lpstr>'Form 10E - New Scheme'!Print_Area</vt:lpstr>
      <vt:lpstr>'Form 10E - Old Scheme'!Print_Area</vt:lpstr>
      <vt:lpstr>'Income Tax Proforma - New Schem'!Print_Area</vt:lpstr>
      <vt:lpstr>'Income Tax Proforma - Old Schem'!Print_Area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2026-01-31T07:56:44Z</dcterms:modified>
</cp:coreProperties>
</file>